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WARNER\Desktop\"/>
    </mc:Choice>
  </mc:AlternateContent>
  <xr:revisionPtr revIDLastSave="0" documentId="13_ncr:1_{9345612F-FFC5-4041-A83D-37D6101580C3}" xr6:coauthVersionLast="47" xr6:coauthVersionMax="47" xr10:uidLastSave="{00000000-0000-0000-0000-000000000000}"/>
  <bookViews>
    <workbookView xWindow="-120" yWindow="-120" windowWidth="20730" windowHeight="11040" firstSheet="7" activeTab="12" xr2:uid="{00000000-000D-0000-FFFF-FFFF00000000}"/>
  </bookViews>
  <sheets>
    <sheet name="October 2021" sheetId="1" r:id="rId1"/>
    <sheet name="November 2021" sheetId="2" r:id="rId2"/>
    <sheet name="December 2021" sheetId="3" r:id="rId3"/>
    <sheet name="January 2022" sheetId="4" r:id="rId4"/>
    <sheet name="February 2022" sheetId="5" r:id="rId5"/>
    <sheet name="March 2022" sheetId="6" r:id="rId6"/>
    <sheet name="April 2022" sheetId="7" r:id="rId7"/>
    <sheet name="May 2022" sheetId="8" r:id="rId8"/>
    <sheet name="June 2022" sheetId="9" r:id="rId9"/>
    <sheet name="July 2022" sheetId="10" r:id="rId10"/>
    <sheet name="August 2022" sheetId="11" r:id="rId11"/>
    <sheet name="September 2022" sheetId="12" r:id="rId12"/>
    <sheet name="October 2022" sheetId="13" r:id="rId13"/>
    <sheet name="November 2022" sheetId="14" r:id="rId14"/>
    <sheet name="December 2022" sheetId="15" r:id="rId15"/>
    <sheet name="January 2023" sheetId="16" r:id="rId16"/>
    <sheet name="February 2023" sheetId="17" r:id="rId17"/>
    <sheet name="March 2023" sheetId="18" r:id="rId18"/>
    <sheet name="April 2023" sheetId="19" r:id="rId19"/>
    <sheet name="May 2023" sheetId="20" r:id="rId20"/>
    <sheet name="June 2023" sheetId="21" r:id="rId21"/>
    <sheet name="July 2023" sheetId="22" r:id="rId22"/>
    <sheet name="August 2023" sheetId="23" r:id="rId23"/>
    <sheet name="September 2023" sheetId="2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3" l="1"/>
  <c r="N55" i="24"/>
  <c r="O45" i="24"/>
  <c r="K35" i="24"/>
  <c r="J35" i="24"/>
  <c r="G35" i="24"/>
  <c r="F35" i="24"/>
  <c r="F36" i="24" s="1"/>
  <c r="C35" i="24"/>
  <c r="B35" i="24"/>
  <c r="N30" i="24"/>
  <c r="Q28" i="24"/>
  <c r="Q27" i="24"/>
  <c r="Q29" i="24" s="1"/>
  <c r="N15" i="24"/>
  <c r="N55" i="23"/>
  <c r="O45" i="23"/>
  <c r="Q28" i="23" s="1"/>
  <c r="B36" i="23"/>
  <c r="K35" i="23"/>
  <c r="J35" i="23"/>
  <c r="J36" i="23" s="1"/>
  <c r="G35" i="23"/>
  <c r="F35" i="23"/>
  <c r="C35" i="23"/>
  <c r="Q23" i="23" s="1"/>
  <c r="B35" i="23"/>
  <c r="C47" i="23" s="1"/>
  <c r="N30" i="23"/>
  <c r="N15" i="23"/>
  <c r="N55" i="22"/>
  <c r="C47" i="22"/>
  <c r="O45" i="22"/>
  <c r="Q28" i="22" s="1"/>
  <c r="B36" i="22"/>
  <c r="K35" i="22"/>
  <c r="J35" i="22"/>
  <c r="J36" i="22" s="1"/>
  <c r="G35" i="22"/>
  <c r="F35" i="22"/>
  <c r="C35" i="22"/>
  <c r="B35" i="22"/>
  <c r="N30" i="22"/>
  <c r="Q23" i="22"/>
  <c r="Q19" i="22"/>
  <c r="N15" i="22"/>
  <c r="Q27" i="22" s="1"/>
  <c r="Q29" i="22" s="1"/>
  <c r="N55" i="21"/>
  <c r="C48" i="21"/>
  <c r="O45" i="21"/>
  <c r="K35" i="21"/>
  <c r="J35" i="21"/>
  <c r="J36" i="21" s="1"/>
  <c r="G35" i="21"/>
  <c r="Q20" i="21" s="1"/>
  <c r="F35" i="21"/>
  <c r="C35" i="21"/>
  <c r="B35" i="21"/>
  <c r="N30" i="21"/>
  <c r="Q28" i="21"/>
  <c r="Q27" i="21"/>
  <c r="Q29" i="21" s="1"/>
  <c r="Q23" i="21"/>
  <c r="N15" i="21"/>
  <c r="N55" i="20"/>
  <c r="O45" i="20"/>
  <c r="K35" i="20"/>
  <c r="J35" i="20"/>
  <c r="J36" i="20" s="1"/>
  <c r="G35" i="20"/>
  <c r="F35" i="20"/>
  <c r="F36" i="20" s="1"/>
  <c r="C35" i="20"/>
  <c r="B35" i="20"/>
  <c r="B36" i="20" s="1"/>
  <c r="N30" i="20"/>
  <c r="Q28" i="20"/>
  <c r="Q27" i="20"/>
  <c r="Q29" i="20" s="1"/>
  <c r="Q20" i="20"/>
  <c r="N15" i="20"/>
  <c r="N55" i="19"/>
  <c r="O45" i="19"/>
  <c r="Q28" i="19" s="1"/>
  <c r="B36" i="19"/>
  <c r="K35" i="19"/>
  <c r="J35" i="19"/>
  <c r="J36" i="19" s="1"/>
  <c r="G35" i="19"/>
  <c r="F35" i="19"/>
  <c r="C35" i="19"/>
  <c r="Q23" i="19" s="1"/>
  <c r="B35" i="19"/>
  <c r="N30" i="19"/>
  <c r="N15" i="19"/>
  <c r="N55" i="18"/>
  <c r="C47" i="18"/>
  <c r="O45" i="18"/>
  <c r="Q28" i="18" s="1"/>
  <c r="B36" i="18"/>
  <c r="K35" i="18"/>
  <c r="J35" i="18"/>
  <c r="J36" i="18" s="1"/>
  <c r="G35" i="18"/>
  <c r="F35" i="18"/>
  <c r="C35" i="18"/>
  <c r="C48" i="18" s="1"/>
  <c r="C49" i="18" s="1"/>
  <c r="B35" i="18"/>
  <c r="N30" i="18"/>
  <c r="Q23" i="18"/>
  <c r="Q19" i="18"/>
  <c r="N15" i="18"/>
  <c r="Q27" i="18" s="1"/>
  <c r="Q29" i="18" s="1"/>
  <c r="N55" i="17"/>
  <c r="C48" i="17"/>
  <c r="O45" i="17"/>
  <c r="K35" i="17"/>
  <c r="J35" i="17"/>
  <c r="J36" i="17" s="1"/>
  <c r="G35" i="17"/>
  <c r="F35" i="17"/>
  <c r="F36" i="17" s="1"/>
  <c r="C35" i="17"/>
  <c r="B35" i="17"/>
  <c r="N30" i="17"/>
  <c r="Q28" i="17"/>
  <c r="Q27" i="17"/>
  <c r="Q29" i="17" s="1"/>
  <c r="Q23" i="17"/>
  <c r="Q20" i="17"/>
  <c r="N15" i="17"/>
  <c r="N55" i="16"/>
  <c r="O45" i="16"/>
  <c r="K35" i="16"/>
  <c r="J35" i="16"/>
  <c r="J36" i="16" s="1"/>
  <c r="G35" i="16"/>
  <c r="F35" i="16"/>
  <c r="F36" i="16" s="1"/>
  <c r="C35" i="16"/>
  <c r="B35" i="16"/>
  <c r="B36" i="16" s="1"/>
  <c r="Q28" i="16"/>
  <c r="N20" i="16"/>
  <c r="N30" i="16" s="1"/>
  <c r="N15" i="16"/>
  <c r="Q27" i="16" s="1"/>
  <c r="N55" i="15"/>
  <c r="C47" i="15"/>
  <c r="O44" i="15"/>
  <c r="K35" i="15"/>
  <c r="J35" i="15"/>
  <c r="J36" i="15" s="1"/>
  <c r="G35" i="15"/>
  <c r="F36" i="15" s="1"/>
  <c r="F35" i="15"/>
  <c r="C35" i="15"/>
  <c r="C48" i="15" s="1"/>
  <c r="C49" i="15" s="1"/>
  <c r="B35" i="15"/>
  <c r="B36" i="15" s="1"/>
  <c r="N30" i="15"/>
  <c r="Q28" i="15"/>
  <c r="Q23" i="15"/>
  <c r="Q19" i="15"/>
  <c r="N15" i="15"/>
  <c r="Q27" i="15" s="1"/>
  <c r="Q29" i="15" s="1"/>
  <c r="N55" i="14"/>
  <c r="X51" i="14"/>
  <c r="V50" i="14"/>
  <c r="U50" i="14"/>
  <c r="T50" i="14"/>
  <c r="C48" i="14"/>
  <c r="O44" i="14"/>
  <c r="K35" i="14"/>
  <c r="J35" i="14"/>
  <c r="J36" i="14" s="1"/>
  <c r="G35" i="14"/>
  <c r="F35" i="14"/>
  <c r="F36" i="14" s="1"/>
  <c r="C35" i="14"/>
  <c r="B35" i="14"/>
  <c r="N30" i="14"/>
  <c r="Q28" i="14"/>
  <c r="Q27" i="14"/>
  <c r="Q29" i="14" s="1"/>
  <c r="Q23" i="14"/>
  <c r="N15" i="14"/>
  <c r="Q20" i="14" s="1"/>
  <c r="N55" i="13"/>
  <c r="X51" i="13"/>
  <c r="V50" i="13"/>
  <c r="U50" i="13"/>
  <c r="T50" i="13"/>
  <c r="O39" i="13"/>
  <c r="K35" i="13"/>
  <c r="J35" i="13"/>
  <c r="J36" i="13" s="1"/>
  <c r="F35" i="13"/>
  <c r="C35" i="13"/>
  <c r="B35" i="13"/>
  <c r="G31" i="13"/>
  <c r="G35" i="13" s="1"/>
  <c r="Q23" i="13" s="1"/>
  <c r="Q28" i="13"/>
  <c r="Q27" i="13"/>
  <c r="N20" i="13"/>
  <c r="N30" i="13" s="1"/>
  <c r="N55" i="12"/>
  <c r="X51" i="12"/>
  <c r="V50" i="12"/>
  <c r="U50" i="12"/>
  <c r="T50" i="12"/>
  <c r="O39" i="12"/>
  <c r="B36" i="12"/>
  <c r="K35" i="12"/>
  <c r="J35" i="12"/>
  <c r="J36" i="12" s="1"/>
  <c r="G35" i="12"/>
  <c r="F35" i="12"/>
  <c r="F36" i="12" s="1"/>
  <c r="C35" i="12"/>
  <c r="Q23" i="12" s="1"/>
  <c r="B35" i="12"/>
  <c r="Q28" i="12"/>
  <c r="N20" i="12"/>
  <c r="N30" i="12" s="1"/>
  <c r="N15" i="12"/>
  <c r="N55" i="11"/>
  <c r="X51" i="11"/>
  <c r="V50" i="11"/>
  <c r="U50" i="11"/>
  <c r="T50" i="11"/>
  <c r="C47" i="11"/>
  <c r="O39" i="11"/>
  <c r="B36" i="11"/>
  <c r="K35" i="11"/>
  <c r="J35" i="11"/>
  <c r="J36" i="11" s="1"/>
  <c r="G35" i="11"/>
  <c r="Q23" i="11" s="1"/>
  <c r="F35" i="11"/>
  <c r="C35" i="11"/>
  <c r="C48" i="11" s="1"/>
  <c r="C49" i="11" s="1"/>
  <c r="B35" i="11"/>
  <c r="N30" i="11"/>
  <c r="P27" i="11"/>
  <c r="Q20" i="11"/>
  <c r="Q19" i="11"/>
  <c r="R16" i="11"/>
  <c r="N15" i="11"/>
  <c r="N55" i="10"/>
  <c r="X51" i="10"/>
  <c r="H51" i="10"/>
  <c r="V50" i="10"/>
  <c r="C47" i="10"/>
  <c r="O39" i="10"/>
  <c r="B36" i="10"/>
  <c r="K35" i="10"/>
  <c r="J35" i="10"/>
  <c r="J36" i="10" s="1"/>
  <c r="G35" i="10"/>
  <c r="F35" i="10"/>
  <c r="Q19" i="10" s="1"/>
  <c r="C35" i="10"/>
  <c r="B35" i="10"/>
  <c r="U31" i="10"/>
  <c r="U50" i="10" s="1"/>
  <c r="T31" i="10"/>
  <c r="N30" i="10"/>
  <c r="U29" i="10"/>
  <c r="T29" i="10"/>
  <c r="T50" i="10" s="1"/>
  <c r="U28" i="10"/>
  <c r="R16" i="10"/>
  <c r="Z17" i="10" s="1"/>
  <c r="N15" i="10"/>
  <c r="P27" i="10" s="1"/>
  <c r="G14" i="10"/>
  <c r="N55" i="9"/>
  <c r="X51" i="9"/>
  <c r="V49" i="9"/>
  <c r="V48" i="9"/>
  <c r="V47" i="9"/>
  <c r="T47" i="9"/>
  <c r="V46" i="9"/>
  <c r="V45" i="9"/>
  <c r="U45" i="9"/>
  <c r="T45" i="9"/>
  <c r="V44" i="9"/>
  <c r="V43" i="9"/>
  <c r="T42" i="9"/>
  <c r="V42" i="9" s="1"/>
  <c r="V41" i="9"/>
  <c r="V40" i="9"/>
  <c r="V39" i="9"/>
  <c r="V38" i="9"/>
  <c r="V37" i="9"/>
  <c r="U37" i="9"/>
  <c r="U36" i="9"/>
  <c r="T36" i="9"/>
  <c r="V36" i="9" s="1"/>
  <c r="V35" i="9"/>
  <c r="T35" i="9"/>
  <c r="K35" i="9"/>
  <c r="J35" i="9"/>
  <c r="J36" i="9" s="1"/>
  <c r="G35" i="9"/>
  <c r="Q20" i="9" s="1"/>
  <c r="C35" i="9"/>
  <c r="C48" i="9" s="1"/>
  <c r="B35" i="9"/>
  <c r="B36" i="9" s="1"/>
  <c r="V34" i="9"/>
  <c r="U34" i="9"/>
  <c r="T34" i="9"/>
  <c r="V33" i="9"/>
  <c r="V32" i="9"/>
  <c r="U31" i="9"/>
  <c r="T31" i="9"/>
  <c r="V31" i="9" s="1"/>
  <c r="V30" i="9"/>
  <c r="U30" i="9"/>
  <c r="T30" i="9"/>
  <c r="N30" i="9"/>
  <c r="V29" i="9"/>
  <c r="U29" i="9"/>
  <c r="T29" i="9"/>
  <c r="U28" i="9"/>
  <c r="V28" i="9" s="1"/>
  <c r="T28" i="9"/>
  <c r="U27" i="9"/>
  <c r="T27" i="9"/>
  <c r="V27" i="9" s="1"/>
  <c r="U26" i="9"/>
  <c r="T26" i="9"/>
  <c r="V26" i="9" s="1"/>
  <c r="V25" i="9"/>
  <c r="U24" i="9"/>
  <c r="T24" i="9"/>
  <c r="V24" i="9" s="1"/>
  <c r="T23" i="9"/>
  <c r="V23" i="9" s="1"/>
  <c r="T22" i="9"/>
  <c r="V22" i="9" s="1"/>
  <c r="T21" i="9"/>
  <c r="V20" i="9"/>
  <c r="U20" i="9"/>
  <c r="F17" i="9"/>
  <c r="F35" i="9" s="1"/>
  <c r="Z16" i="9"/>
  <c r="V16" i="9"/>
  <c r="R16" i="9"/>
  <c r="Z17" i="9" s="1"/>
  <c r="N15" i="9"/>
  <c r="T67" i="8"/>
  <c r="N55" i="8"/>
  <c r="X51" i="8"/>
  <c r="V49" i="8"/>
  <c r="U48" i="8"/>
  <c r="T48" i="8"/>
  <c r="V48" i="8" s="1"/>
  <c r="U47" i="8"/>
  <c r="T47" i="8"/>
  <c r="V47" i="8" s="1"/>
  <c r="U46" i="8"/>
  <c r="T46" i="8"/>
  <c r="V46" i="8" s="1"/>
  <c r="V45" i="8"/>
  <c r="U44" i="8"/>
  <c r="T44" i="8"/>
  <c r="V44" i="8" s="1"/>
  <c r="U43" i="8"/>
  <c r="T43" i="8"/>
  <c r="V43" i="8" s="1"/>
  <c r="V42" i="8"/>
  <c r="U42" i="8"/>
  <c r="T42" i="8"/>
  <c r="U41" i="8"/>
  <c r="V41" i="8" s="1"/>
  <c r="T41" i="8"/>
  <c r="U40" i="8"/>
  <c r="T40" i="8"/>
  <c r="V40" i="8" s="1"/>
  <c r="U39" i="8"/>
  <c r="T39" i="8"/>
  <c r="V39" i="8" s="1"/>
  <c r="V38" i="8"/>
  <c r="U38" i="8"/>
  <c r="T38" i="8"/>
  <c r="V37" i="8"/>
  <c r="U37" i="8"/>
  <c r="T37" i="8"/>
  <c r="U36" i="8"/>
  <c r="V36" i="8" s="1"/>
  <c r="V35" i="8"/>
  <c r="T35" i="8"/>
  <c r="K35" i="8"/>
  <c r="J35" i="8"/>
  <c r="J36" i="8" s="1"/>
  <c r="G35" i="8"/>
  <c r="F35" i="8"/>
  <c r="F36" i="8" s="1"/>
  <c r="B35" i="8"/>
  <c r="B36" i="8" s="1"/>
  <c r="V34" i="8"/>
  <c r="U34" i="8"/>
  <c r="T34" i="8"/>
  <c r="U33" i="8"/>
  <c r="V33" i="8" s="1"/>
  <c r="T33" i="8"/>
  <c r="U32" i="8"/>
  <c r="T32" i="8"/>
  <c r="V32" i="8" s="1"/>
  <c r="G32" i="8"/>
  <c r="U31" i="8"/>
  <c r="T31" i="8"/>
  <c r="V31" i="8" s="1"/>
  <c r="U30" i="8"/>
  <c r="T30" i="8"/>
  <c r="V30" i="8" s="1"/>
  <c r="N30" i="8"/>
  <c r="U29" i="8"/>
  <c r="T29" i="8"/>
  <c r="V29" i="8" s="1"/>
  <c r="V28" i="8"/>
  <c r="T28" i="8"/>
  <c r="U27" i="8"/>
  <c r="T27" i="8"/>
  <c r="V27" i="8" s="1"/>
  <c r="U26" i="8"/>
  <c r="T26" i="8"/>
  <c r="V26" i="8" s="1"/>
  <c r="U25" i="8"/>
  <c r="T25" i="8"/>
  <c r="V25" i="8" s="1"/>
  <c r="V24" i="8"/>
  <c r="U24" i="8"/>
  <c r="T24" i="8"/>
  <c r="T23" i="8"/>
  <c r="V23" i="8" s="1"/>
  <c r="U22" i="8"/>
  <c r="T22" i="8"/>
  <c r="V22" i="8" s="1"/>
  <c r="V21" i="8"/>
  <c r="U20" i="8"/>
  <c r="U50" i="8" s="1"/>
  <c r="T20" i="8"/>
  <c r="Q19" i="8"/>
  <c r="Z16" i="8"/>
  <c r="V16" i="8"/>
  <c r="R16" i="8"/>
  <c r="Z17" i="8" s="1"/>
  <c r="N15" i="8"/>
  <c r="C15" i="8"/>
  <c r="C35" i="8" s="1"/>
  <c r="U49" i="7"/>
  <c r="T49" i="7"/>
  <c r="V49" i="7" s="1"/>
  <c r="U48" i="7"/>
  <c r="V48" i="7" s="1"/>
  <c r="T48" i="7"/>
  <c r="V47" i="7"/>
  <c r="T47" i="7"/>
  <c r="U46" i="7"/>
  <c r="T46" i="7"/>
  <c r="V46" i="7" s="1"/>
  <c r="T45" i="7"/>
  <c r="V45" i="7" s="1"/>
  <c r="V44" i="7"/>
  <c r="U43" i="7"/>
  <c r="T43" i="7"/>
  <c r="V43" i="7" s="1"/>
  <c r="U42" i="7"/>
  <c r="T42" i="7"/>
  <c r="V42" i="7" s="1"/>
  <c r="U41" i="7"/>
  <c r="V41" i="7" s="1"/>
  <c r="T41" i="7"/>
  <c r="V40" i="7"/>
  <c r="U40" i="7"/>
  <c r="T40" i="7"/>
  <c r="U39" i="7"/>
  <c r="T39" i="7"/>
  <c r="N39" i="7"/>
  <c r="N55" i="7" s="1"/>
  <c r="T38" i="7"/>
  <c r="V38" i="7" s="1"/>
  <c r="V37" i="7"/>
  <c r="V36" i="7"/>
  <c r="U36" i="7"/>
  <c r="V35" i="7"/>
  <c r="K35" i="7"/>
  <c r="J36" i="7" s="1"/>
  <c r="J35" i="7"/>
  <c r="F35" i="7"/>
  <c r="B35" i="7"/>
  <c r="Q19" i="7" s="1"/>
  <c r="U34" i="7"/>
  <c r="T34" i="7"/>
  <c r="V34" i="7" s="1"/>
  <c r="U33" i="7"/>
  <c r="T33" i="7"/>
  <c r="V33" i="7" s="1"/>
  <c r="U32" i="7"/>
  <c r="V32" i="7" s="1"/>
  <c r="T32" i="7"/>
  <c r="G32" i="7"/>
  <c r="C32" i="7"/>
  <c r="X31" i="7"/>
  <c r="X51" i="7" s="1"/>
  <c r="U31" i="7"/>
  <c r="T31" i="7"/>
  <c r="V30" i="7"/>
  <c r="N30" i="7"/>
  <c r="V29" i="7"/>
  <c r="U29" i="7"/>
  <c r="T29" i="7"/>
  <c r="V28" i="7"/>
  <c r="U28" i="7"/>
  <c r="T28" i="7"/>
  <c r="U27" i="7"/>
  <c r="U50" i="7" s="1"/>
  <c r="T27" i="7"/>
  <c r="V27" i="7" s="1"/>
  <c r="U26" i="7"/>
  <c r="T26" i="7"/>
  <c r="V26" i="7" s="1"/>
  <c r="V25" i="7"/>
  <c r="G25" i="7"/>
  <c r="G35" i="7" s="1"/>
  <c r="C25" i="7"/>
  <c r="V24" i="7"/>
  <c r="C24" i="7"/>
  <c r="V23" i="7"/>
  <c r="T22" i="7"/>
  <c r="V22" i="7" s="1"/>
  <c r="V21" i="7"/>
  <c r="U21" i="7"/>
  <c r="T21" i="7"/>
  <c r="V20" i="7"/>
  <c r="U20" i="7"/>
  <c r="T20" i="7"/>
  <c r="N20" i="7"/>
  <c r="Z16" i="7"/>
  <c r="V16" i="7"/>
  <c r="R16" i="7"/>
  <c r="Z17" i="7" s="1"/>
  <c r="N15" i="7"/>
  <c r="C13" i="7"/>
  <c r="C35" i="7" s="1"/>
  <c r="C9" i="7"/>
  <c r="C5" i="7"/>
  <c r="N55" i="6"/>
  <c r="B42" i="6"/>
  <c r="S36" i="6"/>
  <c r="J36" i="6"/>
  <c r="K35" i="6"/>
  <c r="J35" i="6"/>
  <c r="G35" i="6"/>
  <c r="F35" i="6"/>
  <c r="F36" i="6" s="1"/>
  <c r="B35" i="6"/>
  <c r="C33" i="6"/>
  <c r="N30" i="6"/>
  <c r="C28" i="6"/>
  <c r="C27" i="6"/>
  <c r="C23" i="6"/>
  <c r="C20" i="6"/>
  <c r="Q19" i="6"/>
  <c r="Z16" i="6"/>
  <c r="V16" i="6"/>
  <c r="R16" i="6"/>
  <c r="Z17" i="6" s="1"/>
  <c r="O15" i="6"/>
  <c r="N15" i="6"/>
  <c r="C6" i="6"/>
  <c r="C35" i="6" s="1"/>
  <c r="N55" i="5"/>
  <c r="K35" i="5"/>
  <c r="J35" i="5"/>
  <c r="J36" i="5" s="1"/>
  <c r="G35" i="5"/>
  <c r="F35" i="5"/>
  <c r="Q19" i="5" s="1"/>
  <c r="B35" i="5"/>
  <c r="N30" i="5"/>
  <c r="C27" i="5"/>
  <c r="C26" i="5"/>
  <c r="C21" i="5"/>
  <c r="C19" i="5"/>
  <c r="C17" i="5"/>
  <c r="O15" i="5"/>
  <c r="N15" i="5"/>
  <c r="C14" i="5"/>
  <c r="C13" i="5"/>
  <c r="C10" i="5"/>
  <c r="C9" i="5"/>
  <c r="C35" i="5" s="1"/>
  <c r="C7" i="5"/>
  <c r="N55" i="4"/>
  <c r="J37" i="4"/>
  <c r="J35" i="4" s="1"/>
  <c r="J36" i="4" s="1"/>
  <c r="K35" i="4"/>
  <c r="G35" i="4"/>
  <c r="F35" i="4"/>
  <c r="F36" i="4" s="1"/>
  <c r="B35" i="4"/>
  <c r="N30" i="4"/>
  <c r="C24" i="4"/>
  <c r="N15" i="4"/>
  <c r="C15" i="4"/>
  <c r="C35" i="4" s="1"/>
  <c r="Q20" i="4" s="1"/>
  <c r="J13" i="4"/>
  <c r="C9" i="4"/>
  <c r="N55" i="3"/>
  <c r="K35" i="3"/>
  <c r="J35" i="3"/>
  <c r="J36" i="3" s="1"/>
  <c r="F35" i="3"/>
  <c r="B35" i="3"/>
  <c r="B36" i="3" s="1"/>
  <c r="G33" i="3"/>
  <c r="G35" i="3" s="1"/>
  <c r="F36" i="3" s="1"/>
  <c r="N30" i="3"/>
  <c r="C29" i="3"/>
  <c r="C28" i="3"/>
  <c r="J25" i="3"/>
  <c r="N15" i="3"/>
  <c r="C7" i="3"/>
  <c r="C35" i="3" s="1"/>
  <c r="Q19" i="4" l="1"/>
  <c r="Q21" i="4" s="1"/>
  <c r="B44" i="7"/>
  <c r="Q20" i="7"/>
  <c r="Q20" i="3"/>
  <c r="B36" i="6"/>
  <c r="B43" i="6"/>
  <c r="B44" i="6" s="1"/>
  <c r="S37" i="6"/>
  <c r="S38" i="6" s="1"/>
  <c r="Q20" i="6"/>
  <c r="B36" i="5"/>
  <c r="Q20" i="5"/>
  <c r="Q21" i="5" s="1"/>
  <c r="Q21" i="6"/>
  <c r="V28" i="6" s="1"/>
  <c r="Q21" i="7"/>
  <c r="Q19" i="3"/>
  <c r="C47" i="14"/>
  <c r="P38" i="14" s="1"/>
  <c r="B36" i="14"/>
  <c r="C49" i="14"/>
  <c r="P38" i="18"/>
  <c r="C47" i="21"/>
  <c r="P38" i="21" s="1"/>
  <c r="Q19" i="21"/>
  <c r="Q21" i="21" s="1"/>
  <c r="S19" i="21" s="1"/>
  <c r="B36" i="21"/>
  <c r="B36" i="4"/>
  <c r="F36" i="5"/>
  <c r="T50" i="7"/>
  <c r="F36" i="7"/>
  <c r="C48" i="8"/>
  <c r="Q20" i="8"/>
  <c r="P27" i="9"/>
  <c r="Q19" i="9"/>
  <c r="Q21" i="9" s="1"/>
  <c r="F36" i="9"/>
  <c r="T50" i="9"/>
  <c r="F36" i="11"/>
  <c r="Q20" i="12"/>
  <c r="Q27" i="12"/>
  <c r="Q29" i="12" s="1"/>
  <c r="Q20" i="13"/>
  <c r="C47" i="13"/>
  <c r="B36" i="13"/>
  <c r="Q19" i="13"/>
  <c r="Q29" i="16"/>
  <c r="C47" i="17"/>
  <c r="P38" i="17" s="1"/>
  <c r="Q19" i="17"/>
  <c r="Q21" i="17" s="1"/>
  <c r="S21" i="17" s="1"/>
  <c r="B36" i="17"/>
  <c r="C48" i="20"/>
  <c r="C49" i="20" s="1"/>
  <c r="Q23" i="20"/>
  <c r="Q20" i="22"/>
  <c r="F36" i="22"/>
  <c r="Q20" i="23"/>
  <c r="Q27" i="23"/>
  <c r="Q29" i="23" s="1"/>
  <c r="V50" i="9"/>
  <c r="C49" i="9"/>
  <c r="Q23" i="10"/>
  <c r="Q20" i="10"/>
  <c r="Q21" i="10" s="1"/>
  <c r="F36" i="10"/>
  <c r="C48" i="13"/>
  <c r="C49" i="13" s="1"/>
  <c r="F36" i="19"/>
  <c r="Q19" i="19"/>
  <c r="C48" i="24"/>
  <c r="Q23" i="24"/>
  <c r="V31" i="7"/>
  <c r="P27" i="8"/>
  <c r="Q21" i="8"/>
  <c r="C48" i="10"/>
  <c r="C49" i="10" s="1"/>
  <c r="Q21" i="11"/>
  <c r="C47" i="12"/>
  <c r="Q29" i="13"/>
  <c r="Q20" i="15"/>
  <c r="C48" i="16"/>
  <c r="C49" i="16" s="1"/>
  <c r="Q23" i="16"/>
  <c r="Q20" i="18"/>
  <c r="Q21" i="18" s="1"/>
  <c r="S19" i="18" s="1"/>
  <c r="F36" i="18"/>
  <c r="Q20" i="19"/>
  <c r="Q27" i="19"/>
  <c r="Q29" i="19" s="1"/>
  <c r="C47" i="19"/>
  <c r="B43" i="7"/>
  <c r="B36" i="7"/>
  <c r="P34" i="7" s="1"/>
  <c r="V39" i="7"/>
  <c r="V50" i="7" s="1"/>
  <c r="T50" i="8"/>
  <c r="V20" i="8"/>
  <c r="V50" i="8" s="1"/>
  <c r="U50" i="9"/>
  <c r="P38" i="11"/>
  <c r="F36" i="13"/>
  <c r="Q19" i="14"/>
  <c r="Q21" i="14" s="1"/>
  <c r="Q21" i="15"/>
  <c r="S19" i="15" s="1"/>
  <c r="P38" i="15"/>
  <c r="Q20" i="16"/>
  <c r="Q21" i="22"/>
  <c r="S19" i="22" s="1"/>
  <c r="C48" i="22"/>
  <c r="C49" i="22" s="1"/>
  <c r="F36" i="23"/>
  <c r="Q19" i="23"/>
  <c r="Q20" i="24"/>
  <c r="B36" i="24"/>
  <c r="J36" i="24"/>
  <c r="C47" i="9"/>
  <c r="P38" i="9" s="1"/>
  <c r="C48" i="12"/>
  <c r="C49" i="12" s="1"/>
  <c r="Q19" i="16"/>
  <c r="Q21" i="16" s="1"/>
  <c r="S17" i="16" s="1"/>
  <c r="C47" i="16"/>
  <c r="C48" i="19"/>
  <c r="C49" i="19" s="1"/>
  <c r="Q19" i="20"/>
  <c r="Q21" i="20" s="1"/>
  <c r="S19" i="20" s="1"/>
  <c r="C47" i="20"/>
  <c r="C48" i="23"/>
  <c r="C49" i="23" s="1"/>
  <c r="Q19" i="24"/>
  <c r="C47" i="24"/>
  <c r="P38" i="24" s="1"/>
  <c r="C47" i="8"/>
  <c r="P38" i="8" s="1"/>
  <c r="V21" i="9"/>
  <c r="F36" i="21"/>
  <c r="Q19" i="12"/>
  <c r="Q21" i="12" s="1"/>
  <c r="S39" i="6" l="1"/>
  <c r="Q46" i="6"/>
  <c r="P38" i="12"/>
  <c r="P35" i="6"/>
  <c r="P43" i="6" s="1"/>
  <c r="S35" i="6"/>
  <c r="Q21" i="24"/>
  <c r="S19" i="24" s="1"/>
  <c r="Q21" i="19"/>
  <c r="S19" i="19" s="1"/>
  <c r="C49" i="17"/>
  <c r="B45" i="7"/>
  <c r="P38" i="16"/>
  <c r="P38" i="10"/>
  <c r="P38" i="23"/>
  <c r="Q21" i="13"/>
  <c r="C49" i="8"/>
  <c r="C49" i="24"/>
  <c r="P38" i="13"/>
  <c r="Q21" i="23"/>
  <c r="S19" i="23" s="1"/>
  <c r="P38" i="20"/>
  <c r="P38" i="22"/>
  <c r="P38" i="19"/>
  <c r="C49" i="21"/>
  <c r="Q21" i="3"/>
</calcChain>
</file>

<file path=xl/sharedStrings.xml><?xml version="1.0" encoding="utf-8"?>
<sst xmlns="http://schemas.openxmlformats.org/spreadsheetml/2006/main" count="2032" uniqueCount="193">
  <si>
    <t>Resort balance</t>
  </si>
  <si>
    <t>Salary</t>
  </si>
  <si>
    <t>Restaurants</t>
  </si>
  <si>
    <t>Sauna and Bar</t>
  </si>
  <si>
    <t>Hotel</t>
  </si>
  <si>
    <t>Name</t>
  </si>
  <si>
    <t>Amount</t>
  </si>
  <si>
    <t xml:space="preserve">Day </t>
  </si>
  <si>
    <t>Income</t>
  </si>
  <si>
    <t>Spends</t>
  </si>
  <si>
    <t>Gut</t>
  </si>
  <si>
    <t>Staff take money</t>
  </si>
  <si>
    <t>Mak</t>
  </si>
  <si>
    <t>Day</t>
  </si>
  <si>
    <t xml:space="preserve">Name </t>
  </si>
  <si>
    <t>Boy</t>
  </si>
  <si>
    <t>2.10.</t>
  </si>
  <si>
    <t>boy</t>
  </si>
  <si>
    <t>yui</t>
  </si>
  <si>
    <t>Aoo</t>
  </si>
  <si>
    <t>9.10.</t>
  </si>
  <si>
    <t>off</t>
  </si>
  <si>
    <t>Nadet</t>
  </si>
  <si>
    <t>nadet</t>
  </si>
  <si>
    <t>Pi UU</t>
  </si>
  <si>
    <t>horm</t>
  </si>
  <si>
    <t>Tom Hom</t>
  </si>
  <si>
    <t>12.10.</t>
  </si>
  <si>
    <t>Oh</t>
  </si>
  <si>
    <t>Prew</t>
  </si>
  <si>
    <t xml:space="preserve">yui </t>
  </si>
  <si>
    <t>Puki</t>
  </si>
  <si>
    <t>oh</t>
  </si>
  <si>
    <t>Yui</t>
  </si>
  <si>
    <t>Jin</t>
  </si>
  <si>
    <t>Mee</t>
  </si>
  <si>
    <t>Total:</t>
  </si>
  <si>
    <t>Mountly spends</t>
  </si>
  <si>
    <t>Total balance</t>
  </si>
  <si>
    <t>Expenditure</t>
  </si>
  <si>
    <t>room 3 1 month</t>
  </si>
  <si>
    <t>Rent</t>
  </si>
  <si>
    <t>Total income:</t>
  </si>
  <si>
    <t>Electricity</t>
  </si>
  <si>
    <t>Total spends:</t>
  </si>
  <si>
    <t xml:space="preserve"> </t>
  </si>
  <si>
    <t>Pool service</t>
  </si>
  <si>
    <t>Balance:</t>
  </si>
  <si>
    <t>Washing service</t>
  </si>
  <si>
    <t>cashier resort:</t>
  </si>
  <si>
    <t>Internet</t>
  </si>
  <si>
    <t>Gasoline</t>
  </si>
  <si>
    <t>Electricity restraunt</t>
  </si>
  <si>
    <t>Extra spends</t>
  </si>
  <si>
    <t>value lazada</t>
  </si>
  <si>
    <t>cement sauna</t>
  </si>
  <si>
    <t>Profit:</t>
  </si>
  <si>
    <t>tv wall mont</t>
  </si>
  <si>
    <t>honey</t>
  </si>
  <si>
    <t>color printer</t>
  </si>
  <si>
    <t>wood for room 7</t>
  </si>
  <si>
    <t>wine</t>
  </si>
  <si>
    <t>take for casher</t>
  </si>
  <si>
    <t>buy home pro</t>
  </si>
  <si>
    <t>pipi toilet</t>
  </si>
  <si>
    <t>buy ikea</t>
  </si>
  <si>
    <t>yuri tea</t>
  </si>
  <si>
    <t>Sauna Hat 50pcs</t>
  </si>
  <si>
    <t>cash</t>
  </si>
  <si>
    <t>Mo</t>
  </si>
  <si>
    <t>start 16/11</t>
  </si>
  <si>
    <t>p max</t>
  </si>
  <si>
    <t>Suay</t>
  </si>
  <si>
    <t>R14 out 27</t>
  </si>
  <si>
    <t>At</t>
  </si>
  <si>
    <t>mee</t>
  </si>
  <si>
    <t>finish work 13</t>
  </si>
  <si>
    <t>suay</t>
  </si>
  <si>
    <t>start 25/11</t>
  </si>
  <si>
    <t>Total amount:</t>
  </si>
  <si>
    <t>party</t>
  </si>
  <si>
    <t>r13 out 16</t>
  </si>
  <si>
    <t>fix fredge</t>
  </si>
  <si>
    <t>Take alredy</t>
  </si>
  <si>
    <t>at</t>
  </si>
  <si>
    <t>Fah</t>
  </si>
  <si>
    <t xml:space="preserve">boy </t>
  </si>
  <si>
    <t>Mai</t>
  </si>
  <si>
    <t>pay deposit at noveber 14388</t>
  </si>
  <si>
    <t>extra spends</t>
  </si>
  <si>
    <t>engeneer</t>
  </si>
  <si>
    <t>Fa take salary</t>
  </si>
  <si>
    <t>Horm</t>
  </si>
  <si>
    <t>airbnb +1161</t>
  </si>
  <si>
    <t>Left</t>
  </si>
  <si>
    <t>Prewi</t>
  </si>
  <si>
    <t>Salary Peyu</t>
  </si>
  <si>
    <t>my</t>
  </si>
  <si>
    <t>Pay patrick</t>
  </si>
  <si>
    <t>mak</t>
  </si>
  <si>
    <t>pay 2 time</t>
  </si>
  <si>
    <t xml:space="preserve">Anton borrow </t>
  </si>
  <si>
    <t>Salary Max</t>
  </si>
  <si>
    <t>take alredy</t>
  </si>
  <si>
    <t>prew</t>
  </si>
  <si>
    <t>earned money</t>
  </si>
  <si>
    <t>day</t>
  </si>
  <si>
    <t>scan</t>
  </si>
  <si>
    <t>total</t>
  </si>
  <si>
    <t>tips</t>
  </si>
  <si>
    <t>нехватает 30102</t>
  </si>
  <si>
    <t>Wine</t>
  </si>
  <si>
    <t>Salary Ma</t>
  </si>
  <si>
    <t>retur money</t>
  </si>
  <si>
    <t>Horm dont pay back</t>
  </si>
  <si>
    <t>lost money from jarnuary</t>
  </si>
  <si>
    <t>total:</t>
  </si>
  <si>
    <t>Nadech</t>
  </si>
  <si>
    <t>mar</t>
  </si>
  <si>
    <t>My</t>
  </si>
  <si>
    <t>Mac</t>
  </si>
  <si>
    <t>Mar</t>
  </si>
  <si>
    <t>Priew</t>
  </si>
  <si>
    <t>N Piaw</t>
  </si>
  <si>
    <t>extra work</t>
  </si>
  <si>
    <t>Natty</t>
  </si>
  <si>
    <t>Max</t>
  </si>
  <si>
    <t>Maxim</t>
  </si>
  <si>
    <t>Piaw</t>
  </si>
  <si>
    <t>1600`</t>
  </si>
  <si>
    <t>wood</t>
  </si>
  <si>
    <t>price</t>
  </si>
  <si>
    <t>5 off</t>
  </si>
  <si>
    <t>Dayli spends</t>
  </si>
  <si>
    <t>El</t>
  </si>
  <si>
    <t>-1 day</t>
  </si>
  <si>
    <t>-3 days</t>
  </si>
  <si>
    <t>Nid</t>
  </si>
  <si>
    <t>off 14.09</t>
  </si>
  <si>
    <t>Total salary</t>
  </si>
  <si>
    <t>Paid at #20</t>
  </si>
  <si>
    <t>Money rest</t>
  </si>
  <si>
    <t>Nina</t>
  </si>
  <si>
    <t>Ew</t>
  </si>
  <si>
    <t>Sho</t>
  </si>
  <si>
    <t>repair room 8</t>
  </si>
  <si>
    <t>S2.11</t>
  </si>
  <si>
    <t>Grate</t>
  </si>
  <si>
    <t>S12.11</t>
  </si>
  <si>
    <t>Rose</t>
  </si>
  <si>
    <t>lin</t>
  </si>
  <si>
    <t>money back vivi</t>
  </si>
  <si>
    <t>Gold HNY</t>
  </si>
  <si>
    <t>NY bonse</t>
  </si>
  <si>
    <t>-9 days</t>
  </si>
  <si>
    <t>s 16.12</t>
  </si>
  <si>
    <t>new cleaning</t>
  </si>
  <si>
    <t>tawan</t>
  </si>
  <si>
    <t>Plus 4000 grate</t>
  </si>
  <si>
    <t>-1 days</t>
  </si>
  <si>
    <t>2 days myanma</t>
  </si>
  <si>
    <t>5 days</t>
  </si>
  <si>
    <t>Ai</t>
  </si>
  <si>
    <t>-4d</t>
  </si>
  <si>
    <t>booking.com</t>
  </si>
  <si>
    <t>-3d</t>
  </si>
  <si>
    <t>Booking.com</t>
  </si>
  <si>
    <t>s22</t>
  </si>
  <si>
    <t>Bon</t>
  </si>
  <si>
    <t>gabage</t>
  </si>
  <si>
    <t>stop 17</t>
  </si>
  <si>
    <t>Bath cooler</t>
  </si>
  <si>
    <t>mango rum</t>
  </si>
  <si>
    <t>S14.05</t>
  </si>
  <si>
    <t>Pim</t>
  </si>
  <si>
    <t>f29.05</t>
  </si>
  <si>
    <t>S19.05</t>
  </si>
  <si>
    <t>new staff</t>
  </si>
  <si>
    <t>salary 1 day</t>
  </si>
  <si>
    <t>make roof</t>
  </si>
  <si>
    <t>roof 2 parts</t>
  </si>
  <si>
    <t>more cashier</t>
  </si>
  <si>
    <t>incurance</t>
  </si>
  <si>
    <t>S9.06</t>
  </si>
  <si>
    <t>Yee</t>
  </si>
  <si>
    <t>make icebath</t>
  </si>
  <si>
    <t>land plan</t>
  </si>
  <si>
    <t>fix pool</t>
  </si>
  <si>
    <t>fix tile pool</t>
  </si>
  <si>
    <t>S 9.08</t>
  </si>
  <si>
    <t>Duang</t>
  </si>
  <si>
    <t>Taa</t>
  </si>
  <si>
    <t>Sho dauther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</si>
</sst>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"/>
    <numFmt numFmtId="165" formatCode="dd/mm"/>
  </numFmts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1"/>
      <color theme="1"/>
      <name val="Inconsolata"/>
    </font>
    <font>
      <sz val="11"/>
      <color rgb="FF000000"/>
      <name val="Inconsolata"/>
    </font>
    <font>
      <u/>
      <sz val="10"/>
      <color rgb="FF0000FF"/>
      <name val="Arial"/>
    </font>
    <font>
      <sz val="10"/>
      <color theme="1"/>
      <name val="Arial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34A853"/>
        <bgColor rgb="FF34A853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CC0000"/>
        <bgColor rgb="FFCC0000"/>
      </patternFill>
    </fill>
    <fill>
      <patternFill patternType="solid">
        <fgColor rgb="FFDD7E6B"/>
        <bgColor rgb="FFDD7E6B"/>
      </patternFill>
    </fill>
    <fill>
      <patternFill patternType="solid">
        <fgColor rgb="FFD9D9D9"/>
        <bgColor rgb="FFD9D9D9"/>
      </patternFill>
    </fill>
    <fill>
      <patternFill patternType="solid">
        <fgColor theme="7"/>
        <bgColor theme="7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0" xfId="0" applyFont="1" applyAlignment="1"/>
    <xf numFmtId="0" fontId="1" fillId="7" borderId="4" xfId="0" applyFont="1" applyFill="1" applyBorder="1" applyAlignment="1"/>
    <xf numFmtId="0" fontId="1" fillId="3" borderId="4" xfId="0" applyFont="1" applyFill="1" applyBorder="1" applyAlignment="1"/>
    <xf numFmtId="0" fontId="1" fillId="0" borderId="4" xfId="0" applyFont="1" applyBorder="1" applyAlignment="1"/>
    <xf numFmtId="0" fontId="1" fillId="0" borderId="4" xfId="0" applyFont="1" applyBorder="1" applyAlignment="1">
      <alignment horizontal="right"/>
    </xf>
    <xf numFmtId="0" fontId="1" fillId="0" borderId="1" xfId="0" applyFont="1" applyBorder="1" applyAlignment="1"/>
    <xf numFmtId="0" fontId="1" fillId="0" borderId="0" xfId="0" applyFont="1" applyAlignment="1">
      <alignment horizontal="right"/>
    </xf>
    <xf numFmtId="0" fontId="1" fillId="8" borderId="4" xfId="0" applyFont="1" applyFill="1" applyBorder="1" applyAlignment="1"/>
    <xf numFmtId="0" fontId="1" fillId="8" borderId="4" xfId="0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1" fillId="0" borderId="0" xfId="0" applyFont="1" applyAlignment="1"/>
    <xf numFmtId="0" fontId="1" fillId="4" borderId="4" xfId="0" applyFont="1" applyFill="1" applyBorder="1" applyAlignment="1"/>
    <xf numFmtId="0" fontId="1" fillId="4" borderId="4" xfId="0" applyFont="1" applyFill="1" applyBorder="1" applyAlignment="1">
      <alignment horizontal="right"/>
    </xf>
    <xf numFmtId="0" fontId="1" fillId="11" borderId="4" xfId="0" applyFont="1" applyFill="1" applyBorder="1" applyAlignment="1"/>
    <xf numFmtId="0" fontId="1" fillId="11" borderId="4" xfId="0" applyFont="1" applyFill="1" applyBorder="1" applyAlignment="1">
      <alignment horizontal="right"/>
    </xf>
    <xf numFmtId="0" fontId="3" fillId="0" borderId="4" xfId="0" applyFont="1" applyBorder="1" applyAlignment="1"/>
    <xf numFmtId="164" fontId="1" fillId="8" borderId="4" xfId="0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/>
    <xf numFmtId="0" fontId="1" fillId="0" borderId="4" xfId="0" applyFont="1" applyBorder="1" applyAlignment="1">
      <alignment horizontal="right"/>
    </xf>
    <xf numFmtId="164" fontId="1" fillId="0" borderId="4" xfId="0" applyNumberFormat="1" applyFont="1" applyBorder="1" applyAlignment="1"/>
    <xf numFmtId="0" fontId="1" fillId="8" borderId="4" xfId="0" applyFont="1" applyFill="1" applyBorder="1" applyAlignment="1">
      <alignment horizontal="right"/>
    </xf>
    <xf numFmtId="164" fontId="1" fillId="8" borderId="4" xfId="0" applyNumberFormat="1" applyFont="1" applyFill="1" applyBorder="1" applyAlignment="1">
      <alignment horizontal="right"/>
    </xf>
    <xf numFmtId="0" fontId="1" fillId="8" borderId="4" xfId="0" applyFont="1" applyFill="1" applyBorder="1" applyAlignment="1"/>
    <xf numFmtId="0" fontId="1" fillId="0" borderId="3" xfId="0" applyFont="1" applyBorder="1" applyAlignment="1"/>
    <xf numFmtId="0" fontId="1" fillId="12" borderId="4" xfId="0" applyFont="1" applyFill="1" applyBorder="1" applyAlignment="1"/>
    <xf numFmtId="0" fontId="1" fillId="12" borderId="4" xfId="0" applyFont="1" applyFill="1" applyBorder="1" applyAlignment="1">
      <alignment horizontal="right"/>
    </xf>
    <xf numFmtId="164" fontId="1" fillId="0" borderId="0" xfId="0" applyNumberFormat="1" applyFont="1" applyAlignment="1"/>
    <xf numFmtId="0" fontId="1" fillId="0" borderId="0" xfId="0" applyFont="1" applyAlignment="1">
      <alignment horizontal="right"/>
    </xf>
    <xf numFmtId="164" fontId="1" fillId="8" borderId="4" xfId="0" applyNumberFormat="1" applyFont="1" applyFill="1" applyBorder="1" applyAlignment="1"/>
    <xf numFmtId="0" fontId="1" fillId="2" borderId="4" xfId="0" applyFont="1" applyFill="1" applyBorder="1" applyAlignment="1"/>
    <xf numFmtId="0" fontId="1" fillId="13" borderId="3" xfId="0" applyFont="1" applyFill="1" applyBorder="1" applyAlignment="1"/>
    <xf numFmtId="0" fontId="3" fillId="12" borderId="4" xfId="0" applyFont="1" applyFill="1" applyBorder="1" applyAlignment="1"/>
    <xf numFmtId="0" fontId="1" fillId="2" borderId="5" xfId="0" applyFont="1" applyFill="1" applyBorder="1" applyAlignment="1"/>
    <xf numFmtId="0" fontId="1" fillId="13" borderId="6" xfId="0" applyFont="1" applyFill="1" applyBorder="1" applyAlignment="1">
      <alignment horizontal="right"/>
    </xf>
    <xf numFmtId="0" fontId="1" fillId="2" borderId="5" xfId="0" applyFont="1" applyFill="1" applyBorder="1" applyAlignment="1"/>
    <xf numFmtId="0" fontId="1" fillId="13" borderId="6" xfId="0" applyFont="1" applyFill="1" applyBorder="1" applyAlignment="1">
      <alignment horizontal="right"/>
    </xf>
    <xf numFmtId="0" fontId="3" fillId="2" borderId="4" xfId="0" applyFont="1" applyFill="1" applyBorder="1" applyAlignment="1"/>
    <xf numFmtId="0" fontId="3" fillId="13" borderId="4" xfId="0" applyFont="1" applyFill="1" applyBorder="1" applyAlignment="1"/>
    <xf numFmtId="0" fontId="3" fillId="0" borderId="0" xfId="0" applyFont="1" applyAlignment="1"/>
    <xf numFmtId="0" fontId="1" fillId="14" borderId="0" xfId="0" applyFont="1" applyFill="1" applyAlignment="1"/>
    <xf numFmtId="0" fontId="3" fillId="0" borderId="0" xfId="0" applyFont="1"/>
    <xf numFmtId="0" fontId="1" fillId="15" borderId="4" xfId="0" applyFont="1" applyFill="1" applyBorder="1" applyAlignment="1"/>
    <xf numFmtId="9" fontId="3" fillId="0" borderId="0" xfId="0" applyNumberFormat="1" applyFont="1" applyAlignment="1"/>
    <xf numFmtId="164" fontId="1" fillId="12" borderId="4" xfId="0" applyNumberFormat="1" applyFont="1" applyFill="1" applyBorder="1" applyAlignment="1">
      <alignment horizontal="right"/>
    </xf>
    <xf numFmtId="0" fontId="1" fillId="12" borderId="4" xfId="0" applyFont="1" applyFill="1" applyBorder="1" applyAlignment="1"/>
    <xf numFmtId="0" fontId="1" fillId="12" borderId="4" xfId="0" applyFont="1" applyFill="1" applyBorder="1" applyAlignment="1">
      <alignment horizontal="right"/>
    </xf>
    <xf numFmtId="164" fontId="1" fillId="12" borderId="4" xfId="0" applyNumberFormat="1" applyFont="1" applyFill="1" applyBorder="1" applyAlignment="1"/>
    <xf numFmtId="0" fontId="3" fillId="8" borderId="4" xfId="0" applyFont="1" applyFill="1" applyBorder="1"/>
    <xf numFmtId="0" fontId="3" fillId="0" borderId="4" xfId="0" applyFont="1" applyBorder="1"/>
    <xf numFmtId="0" fontId="3" fillId="8" borderId="4" xfId="0" applyFont="1" applyFill="1" applyBorder="1" applyAlignment="1"/>
    <xf numFmtId="0" fontId="3" fillId="16" borderId="4" xfId="0" applyFont="1" applyFill="1" applyBorder="1" applyAlignment="1"/>
    <xf numFmtId="9" fontId="3" fillId="0" borderId="4" xfId="0" applyNumberFormat="1" applyFont="1" applyBorder="1" applyAlignment="1"/>
    <xf numFmtId="0" fontId="1" fillId="11" borderId="4" xfId="0" applyFont="1" applyFill="1" applyBorder="1" applyAlignment="1"/>
    <xf numFmtId="0" fontId="3" fillId="17" borderId="4" xfId="0" applyFont="1" applyFill="1" applyBorder="1"/>
    <xf numFmtId="0" fontId="1" fillId="18" borderId="0" xfId="0" applyFont="1" applyFill="1" applyAlignment="1"/>
    <xf numFmtId="0" fontId="3" fillId="17" borderId="4" xfId="0" applyFont="1" applyFill="1" applyBorder="1" applyAlignment="1"/>
    <xf numFmtId="0" fontId="3" fillId="3" borderId="4" xfId="0" applyFont="1" applyFill="1" applyBorder="1" applyAlignment="1"/>
    <xf numFmtId="0" fontId="3" fillId="3" borderId="4" xfId="0" applyFont="1" applyFill="1" applyBorder="1"/>
    <xf numFmtId="165" fontId="1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165" fontId="1" fillId="0" borderId="4" xfId="0" applyNumberFormat="1" applyFont="1" applyBorder="1" applyAlignment="1"/>
    <xf numFmtId="0" fontId="4" fillId="11" borderId="4" xfId="0" applyFont="1" applyFill="1" applyBorder="1"/>
    <xf numFmtId="0" fontId="5" fillId="11" borderId="4" xfId="0" applyFont="1" applyFill="1" applyBorder="1"/>
    <xf numFmtId="0" fontId="1" fillId="0" borderId="4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19" borderId="4" xfId="0" applyFont="1" applyFill="1" applyBorder="1" applyAlignment="1"/>
    <xf numFmtId="0" fontId="1" fillId="19" borderId="0" xfId="0" applyFont="1" applyFill="1" applyAlignment="1"/>
    <xf numFmtId="0" fontId="6" fillId="0" borderId="4" xfId="0" applyFont="1" applyBorder="1" applyAlignment="1"/>
    <xf numFmtId="0" fontId="1" fillId="0" borderId="4" xfId="0" applyFont="1" applyBorder="1" applyAlignment="1"/>
    <xf numFmtId="0" fontId="1" fillId="2" borderId="4" xfId="0" applyFont="1" applyFill="1" applyBorder="1" applyAlignment="1">
      <alignment horizontal="right"/>
    </xf>
    <xf numFmtId="0" fontId="1" fillId="2" borderId="4" xfId="0" applyFont="1" applyFill="1" applyBorder="1" applyAlignment="1"/>
    <xf numFmtId="0" fontId="1" fillId="2" borderId="4" xfId="0" applyFont="1" applyFill="1" applyBorder="1" applyAlignment="1"/>
    <xf numFmtId="1" fontId="1" fillId="4" borderId="4" xfId="0" applyNumberFormat="1" applyFont="1" applyFill="1" applyBorder="1" applyAlignment="1">
      <alignment horizontal="right"/>
    </xf>
    <xf numFmtId="1" fontId="1" fillId="0" borderId="4" xfId="0" applyNumberFormat="1" applyFont="1" applyBorder="1" applyAlignment="1">
      <alignment horizontal="right"/>
    </xf>
    <xf numFmtId="0" fontId="7" fillId="3" borderId="4" xfId="0" applyFont="1" applyFill="1" applyBorder="1" applyAlignment="1"/>
    <xf numFmtId="0" fontId="1" fillId="9" borderId="1" xfId="0" applyFont="1" applyFill="1" applyBorder="1" applyAlignment="1">
      <alignment horizontal="center"/>
    </xf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0" borderId="1" xfId="0" applyFont="1" applyBorder="1" applyAlignment="1"/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/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booking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booking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booking.com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booking.com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booking.com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booking.com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booking.com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book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5"/>
  <sheetViews>
    <sheetView topLeftCell="A7" workbookViewId="0">
      <selection activeCell="P21" sqref="P21"/>
    </sheetView>
  </sheetViews>
  <sheetFormatPr defaultColWidth="12.5703125" defaultRowHeight="15.75" customHeight="1" x14ac:dyDescent="0.2"/>
  <cols>
    <col min="1" max="1" width="6.85546875" customWidth="1"/>
    <col min="2" max="3" width="9.5703125" customWidth="1"/>
    <col min="4" max="4" width="2.85546875" customWidth="1"/>
    <col min="5" max="5" width="7" customWidth="1"/>
    <col min="6" max="6" width="6.42578125" customWidth="1"/>
    <col min="7" max="7" width="6.5703125" customWidth="1"/>
    <col min="8" max="8" width="6" customWidth="1"/>
    <col min="9" max="9" width="5.42578125" customWidth="1"/>
    <col min="10" max="10" width="6.42578125" customWidth="1"/>
    <col min="11" max="11" width="6.5703125" customWidth="1"/>
    <col min="13" max="13" width="15.140625" customWidth="1"/>
    <col min="14" max="14" width="8" customWidth="1"/>
    <col min="15" max="15" width="5.5703125" customWidth="1"/>
    <col min="16" max="16" width="13.42578125" customWidth="1"/>
    <col min="17" max="17" width="14.85546875" customWidth="1"/>
    <col min="18" max="18" width="6.7109375" customWidth="1"/>
  </cols>
  <sheetData>
    <row r="1" spans="1:22" x14ac:dyDescent="0.2">
      <c r="A1" s="80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79"/>
      <c r="Q1" s="1"/>
      <c r="R1" s="1"/>
      <c r="S1" s="1"/>
      <c r="T1" s="1"/>
      <c r="U1" s="1"/>
      <c r="V1" s="1"/>
    </row>
    <row r="2" spans="1:2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5" t="s">
        <v>1</v>
      </c>
      <c r="N2" s="79"/>
      <c r="O2" s="1"/>
      <c r="P2" s="1"/>
      <c r="Q2" s="1"/>
      <c r="R2" s="1"/>
      <c r="S2" s="1"/>
      <c r="T2" s="1"/>
      <c r="U2" s="1"/>
      <c r="V2" s="1"/>
    </row>
    <row r="3" spans="1:22" x14ac:dyDescent="0.2">
      <c r="A3" s="86" t="s">
        <v>2</v>
      </c>
      <c r="B3" s="84"/>
      <c r="C3" s="79"/>
      <c r="D3" s="1"/>
      <c r="E3" s="87" t="s">
        <v>3</v>
      </c>
      <c r="F3" s="84"/>
      <c r="G3" s="79"/>
      <c r="H3" s="1"/>
      <c r="I3" s="88" t="s">
        <v>4</v>
      </c>
      <c r="J3" s="84"/>
      <c r="K3" s="79"/>
      <c r="L3" s="1"/>
      <c r="M3" s="2" t="s">
        <v>5</v>
      </c>
      <c r="N3" s="3" t="s">
        <v>6</v>
      </c>
      <c r="O3" s="1"/>
      <c r="P3" s="1"/>
      <c r="Q3" s="1"/>
      <c r="R3" s="1"/>
      <c r="S3" s="1"/>
      <c r="T3" s="1"/>
      <c r="U3" s="1"/>
      <c r="V3" s="1"/>
    </row>
    <row r="4" spans="1:22" x14ac:dyDescent="0.2">
      <c r="A4" s="4" t="s">
        <v>7</v>
      </c>
      <c r="B4" s="4" t="s">
        <v>8</v>
      </c>
      <c r="C4" s="4" t="s">
        <v>9</v>
      </c>
      <c r="D4" s="1"/>
      <c r="E4" s="4" t="s">
        <v>7</v>
      </c>
      <c r="F4" s="4" t="s">
        <v>8</v>
      </c>
      <c r="G4" s="4" t="s">
        <v>9</v>
      </c>
      <c r="H4" s="1"/>
      <c r="I4" s="4" t="s">
        <v>7</v>
      </c>
      <c r="J4" s="4" t="s">
        <v>8</v>
      </c>
      <c r="K4" s="4" t="s">
        <v>9</v>
      </c>
      <c r="L4" s="1"/>
      <c r="M4" s="4" t="s">
        <v>10</v>
      </c>
      <c r="N4" s="5">
        <v>12000</v>
      </c>
      <c r="O4" s="1"/>
      <c r="P4" s="83" t="s">
        <v>11</v>
      </c>
      <c r="Q4" s="84"/>
      <c r="R4" s="79"/>
      <c r="S4" s="1"/>
      <c r="T4" s="83" t="s">
        <v>11</v>
      </c>
      <c r="U4" s="84"/>
      <c r="V4" s="79"/>
    </row>
    <row r="5" spans="1:22" x14ac:dyDescent="0.2">
      <c r="A5" s="5">
        <v>1</v>
      </c>
      <c r="B5" s="5">
        <v>270</v>
      </c>
      <c r="C5" s="5">
        <v>3362</v>
      </c>
      <c r="D5" s="1"/>
      <c r="E5" s="5">
        <v>1</v>
      </c>
      <c r="F5" s="5">
        <v>9164</v>
      </c>
      <c r="G5" s="5">
        <v>3617</v>
      </c>
      <c r="H5" s="1"/>
      <c r="I5" s="5">
        <v>1</v>
      </c>
      <c r="J5" s="5">
        <v>1500</v>
      </c>
      <c r="K5" s="5">
        <v>0</v>
      </c>
      <c r="L5" s="1"/>
      <c r="M5" s="4" t="s">
        <v>12</v>
      </c>
      <c r="N5" s="5">
        <v>15000</v>
      </c>
      <c r="O5" s="1"/>
      <c r="P5" s="4" t="s">
        <v>13</v>
      </c>
      <c r="Q5" s="4" t="s">
        <v>14</v>
      </c>
      <c r="R5" s="4" t="s">
        <v>6</v>
      </c>
      <c r="S5" s="1"/>
      <c r="T5" s="4" t="s">
        <v>13</v>
      </c>
      <c r="U5" s="4" t="s">
        <v>14</v>
      </c>
      <c r="V5" s="4" t="s">
        <v>6</v>
      </c>
    </row>
    <row r="6" spans="1:22" x14ac:dyDescent="0.2">
      <c r="A6" s="5">
        <v>2</v>
      </c>
      <c r="B6" s="5">
        <v>2360</v>
      </c>
      <c r="C6" s="5">
        <v>1423.75</v>
      </c>
      <c r="D6" s="1"/>
      <c r="E6" s="5">
        <v>2</v>
      </c>
      <c r="F6" s="5">
        <v>10933</v>
      </c>
      <c r="G6" s="5">
        <v>4908</v>
      </c>
      <c r="H6" s="1"/>
      <c r="I6" s="5">
        <v>2</v>
      </c>
      <c r="J6" s="5">
        <v>500</v>
      </c>
      <c r="K6" s="5">
        <v>0</v>
      </c>
      <c r="L6" s="1"/>
      <c r="M6" s="4" t="s">
        <v>15</v>
      </c>
      <c r="N6" s="5">
        <v>13000</v>
      </c>
      <c r="O6" s="7">
        <v>7000</v>
      </c>
      <c r="P6" s="8" t="s">
        <v>16</v>
      </c>
      <c r="Q6" s="8" t="s">
        <v>17</v>
      </c>
      <c r="R6" s="9">
        <v>500</v>
      </c>
      <c r="S6" s="1"/>
      <c r="T6" s="10">
        <v>44490</v>
      </c>
      <c r="U6" s="4" t="s">
        <v>18</v>
      </c>
      <c r="V6" s="5">
        <v>2000</v>
      </c>
    </row>
    <row r="7" spans="1:22" x14ac:dyDescent="0.2">
      <c r="A7" s="5">
        <v>3</v>
      </c>
      <c r="B7" s="5">
        <v>3800</v>
      </c>
      <c r="C7" s="5">
        <v>2816</v>
      </c>
      <c r="D7" s="1"/>
      <c r="E7" s="5">
        <v>3</v>
      </c>
      <c r="F7" s="5">
        <v>14835</v>
      </c>
      <c r="G7" s="5">
        <v>3585</v>
      </c>
      <c r="H7" s="1"/>
      <c r="I7" s="5">
        <v>3</v>
      </c>
      <c r="J7" s="5">
        <v>0</v>
      </c>
      <c r="K7" s="5">
        <v>0</v>
      </c>
      <c r="L7" s="1"/>
      <c r="M7" s="4" t="s">
        <v>19</v>
      </c>
      <c r="N7" s="5">
        <v>13000</v>
      </c>
      <c r="O7" s="7">
        <v>10000</v>
      </c>
      <c r="P7" s="4" t="s">
        <v>20</v>
      </c>
      <c r="Q7" s="4" t="s">
        <v>18</v>
      </c>
      <c r="R7" s="5">
        <v>3000</v>
      </c>
      <c r="S7" s="1"/>
      <c r="T7" s="10">
        <v>44490</v>
      </c>
      <c r="U7" s="4" t="s">
        <v>17</v>
      </c>
      <c r="V7" s="5">
        <v>2500</v>
      </c>
    </row>
    <row r="8" spans="1:22" x14ac:dyDescent="0.2">
      <c r="A8" s="5">
        <v>4</v>
      </c>
      <c r="B8" s="5">
        <v>0</v>
      </c>
      <c r="C8" s="5">
        <v>0</v>
      </c>
      <c r="D8" s="1" t="s">
        <v>21</v>
      </c>
      <c r="E8" s="5">
        <v>4</v>
      </c>
      <c r="F8" s="5">
        <v>3010</v>
      </c>
      <c r="G8" s="5">
        <v>4784</v>
      </c>
      <c r="H8" s="1"/>
      <c r="I8" s="5">
        <v>4</v>
      </c>
      <c r="J8" s="5">
        <v>3000</v>
      </c>
      <c r="K8" s="5">
        <v>0</v>
      </c>
      <c r="L8" s="1"/>
      <c r="M8" s="4" t="s">
        <v>22</v>
      </c>
      <c r="N8" s="5">
        <v>12000</v>
      </c>
      <c r="O8" s="7">
        <v>6500</v>
      </c>
      <c r="P8" s="4" t="s">
        <v>20</v>
      </c>
      <c r="Q8" s="4" t="s">
        <v>23</v>
      </c>
      <c r="R8" s="5">
        <v>2500</v>
      </c>
      <c r="S8" s="1"/>
      <c r="T8" s="10">
        <v>44491</v>
      </c>
      <c r="U8" s="4" t="s">
        <v>23</v>
      </c>
      <c r="V8" s="5">
        <v>1500</v>
      </c>
    </row>
    <row r="9" spans="1:22" x14ac:dyDescent="0.2">
      <c r="A9" s="5">
        <v>5</v>
      </c>
      <c r="B9" s="5">
        <v>1680</v>
      </c>
      <c r="C9" s="5">
        <v>6410</v>
      </c>
      <c r="D9" s="1"/>
      <c r="E9" s="5">
        <v>5</v>
      </c>
      <c r="F9" s="5">
        <v>16650</v>
      </c>
      <c r="G9" s="5">
        <v>7971</v>
      </c>
      <c r="H9" s="1"/>
      <c r="I9" s="5">
        <v>5</v>
      </c>
      <c r="J9" s="5">
        <v>500</v>
      </c>
      <c r="K9" s="5">
        <v>0</v>
      </c>
      <c r="L9" s="1"/>
      <c r="M9" s="4" t="s">
        <v>24</v>
      </c>
      <c r="N9" s="5">
        <v>6500</v>
      </c>
      <c r="O9" s="1"/>
      <c r="P9" s="4" t="s">
        <v>20</v>
      </c>
      <c r="Q9" s="4" t="s">
        <v>17</v>
      </c>
      <c r="R9" s="5">
        <v>2500</v>
      </c>
      <c r="S9" s="1"/>
      <c r="T9" s="10">
        <v>44492</v>
      </c>
      <c r="U9" s="4" t="s">
        <v>25</v>
      </c>
      <c r="V9" s="5">
        <v>2000</v>
      </c>
    </row>
    <row r="10" spans="1:22" x14ac:dyDescent="0.2">
      <c r="A10" s="5">
        <v>6</v>
      </c>
      <c r="B10" s="5">
        <v>2379</v>
      </c>
      <c r="C10" s="5">
        <v>1011.75</v>
      </c>
      <c r="D10" s="1"/>
      <c r="E10" s="5">
        <v>6</v>
      </c>
      <c r="F10" s="5">
        <v>9930</v>
      </c>
      <c r="G10" s="5">
        <v>6467</v>
      </c>
      <c r="H10" s="1"/>
      <c r="I10" s="5">
        <v>6</v>
      </c>
      <c r="J10" s="5">
        <v>2000</v>
      </c>
      <c r="K10" s="5">
        <v>0</v>
      </c>
      <c r="L10" s="1"/>
      <c r="M10" s="4" t="s">
        <v>26</v>
      </c>
      <c r="N10" s="5">
        <v>18000</v>
      </c>
      <c r="O10" s="7">
        <v>2000</v>
      </c>
      <c r="P10" s="4" t="s">
        <v>27</v>
      </c>
      <c r="Q10" s="4" t="s">
        <v>28</v>
      </c>
      <c r="R10" s="5">
        <v>2500</v>
      </c>
      <c r="S10" s="1"/>
      <c r="T10" s="10">
        <v>44496</v>
      </c>
      <c r="U10" s="4" t="s">
        <v>18</v>
      </c>
      <c r="V10" s="5">
        <v>1000</v>
      </c>
    </row>
    <row r="11" spans="1:22" x14ac:dyDescent="0.2">
      <c r="A11" s="5">
        <v>7</v>
      </c>
      <c r="B11" s="5">
        <v>6856</v>
      </c>
      <c r="C11" s="5">
        <v>2516</v>
      </c>
      <c r="D11" s="1"/>
      <c r="E11" s="5">
        <v>7</v>
      </c>
      <c r="F11" s="5">
        <v>17474</v>
      </c>
      <c r="G11" s="5">
        <v>5863</v>
      </c>
      <c r="H11" s="1"/>
      <c r="I11" s="5">
        <v>7</v>
      </c>
      <c r="J11" s="5">
        <v>3000</v>
      </c>
      <c r="K11" s="5">
        <v>72</v>
      </c>
      <c r="L11" s="1"/>
      <c r="M11" s="4" t="s">
        <v>29</v>
      </c>
      <c r="N11" s="5">
        <v>11000</v>
      </c>
      <c r="O11" s="1"/>
      <c r="P11" s="10">
        <v>44484</v>
      </c>
      <c r="Q11" s="4" t="s">
        <v>30</v>
      </c>
      <c r="R11" s="5">
        <v>2000</v>
      </c>
      <c r="S11" s="1"/>
      <c r="T11" s="10">
        <v>44499</v>
      </c>
      <c r="U11" s="4" t="s">
        <v>18</v>
      </c>
      <c r="V11" s="5">
        <v>1000</v>
      </c>
    </row>
    <row r="12" spans="1:22" x14ac:dyDescent="0.2">
      <c r="A12" s="5">
        <v>8</v>
      </c>
      <c r="B12" s="5">
        <v>2333</v>
      </c>
      <c r="C12" s="5">
        <v>1640.25</v>
      </c>
      <c r="D12" s="1"/>
      <c r="E12" s="5">
        <v>8</v>
      </c>
      <c r="F12" s="5">
        <v>12950</v>
      </c>
      <c r="G12" s="5">
        <v>8401</v>
      </c>
      <c r="H12" s="1"/>
      <c r="I12" s="5">
        <v>8</v>
      </c>
      <c r="J12" s="5">
        <v>2000</v>
      </c>
      <c r="K12" s="5">
        <v>0</v>
      </c>
      <c r="L12" s="1"/>
      <c r="M12" s="4" t="s">
        <v>31</v>
      </c>
      <c r="N12" s="5">
        <v>3000</v>
      </c>
      <c r="O12" s="1"/>
      <c r="P12" s="10">
        <v>44484</v>
      </c>
      <c r="Q12" s="4" t="s">
        <v>23</v>
      </c>
      <c r="R12" s="5">
        <v>2500</v>
      </c>
      <c r="S12" s="1"/>
      <c r="T12" s="10">
        <v>44498</v>
      </c>
      <c r="U12" s="4" t="s">
        <v>32</v>
      </c>
      <c r="V12" s="5">
        <v>2000</v>
      </c>
    </row>
    <row r="13" spans="1:22" x14ac:dyDescent="0.2">
      <c r="A13" s="5">
        <v>9</v>
      </c>
      <c r="B13" s="5">
        <v>3334</v>
      </c>
      <c r="C13" s="5">
        <v>2110.5</v>
      </c>
      <c r="D13" s="1"/>
      <c r="E13" s="5">
        <v>9</v>
      </c>
      <c r="F13" s="5">
        <v>15070</v>
      </c>
      <c r="G13" s="5">
        <v>6176</v>
      </c>
      <c r="H13" s="1"/>
      <c r="I13" s="5">
        <v>9</v>
      </c>
      <c r="J13" s="5">
        <v>2000</v>
      </c>
      <c r="K13" s="5">
        <v>0</v>
      </c>
      <c r="L13" s="1"/>
      <c r="M13" s="4" t="s">
        <v>33</v>
      </c>
      <c r="N13" s="5">
        <v>12000</v>
      </c>
      <c r="O13" s="7">
        <v>12000</v>
      </c>
      <c r="P13" s="10">
        <v>44485</v>
      </c>
      <c r="Q13" s="4" t="s">
        <v>17</v>
      </c>
      <c r="R13" s="5">
        <v>2000</v>
      </c>
      <c r="S13" s="1"/>
      <c r="T13" s="4"/>
      <c r="U13" s="4"/>
      <c r="V13" s="4"/>
    </row>
    <row r="14" spans="1:22" x14ac:dyDescent="0.2">
      <c r="A14" s="5">
        <v>10</v>
      </c>
      <c r="B14" s="5">
        <v>899</v>
      </c>
      <c r="C14" s="5">
        <v>667.75</v>
      </c>
      <c r="D14" s="1"/>
      <c r="E14" s="5">
        <v>10</v>
      </c>
      <c r="F14" s="5">
        <v>14520</v>
      </c>
      <c r="G14" s="5">
        <v>6988</v>
      </c>
      <c r="H14" s="1"/>
      <c r="I14" s="5">
        <v>10</v>
      </c>
      <c r="J14" s="5">
        <v>1500</v>
      </c>
      <c r="K14" s="5">
        <v>0</v>
      </c>
      <c r="L14" s="1"/>
      <c r="M14" s="4" t="s">
        <v>34</v>
      </c>
      <c r="N14" s="5">
        <v>3600</v>
      </c>
      <c r="O14" s="1"/>
      <c r="P14" s="10">
        <v>44486</v>
      </c>
      <c r="Q14" s="4" t="s">
        <v>32</v>
      </c>
      <c r="R14" s="5">
        <v>2500</v>
      </c>
      <c r="S14" s="1"/>
      <c r="T14" s="4"/>
      <c r="U14" s="4"/>
      <c r="V14" s="4"/>
    </row>
    <row r="15" spans="1:22" x14ac:dyDescent="0.2">
      <c r="A15" s="5">
        <v>11</v>
      </c>
      <c r="B15" s="5">
        <v>0</v>
      </c>
      <c r="C15" s="5">
        <v>0</v>
      </c>
      <c r="D15" s="11" t="s">
        <v>21</v>
      </c>
      <c r="E15" s="5">
        <v>11</v>
      </c>
      <c r="F15" s="5">
        <v>7105</v>
      </c>
      <c r="G15" s="5">
        <v>6191</v>
      </c>
      <c r="H15" s="1"/>
      <c r="I15" s="5">
        <v>11</v>
      </c>
      <c r="J15" s="5">
        <v>2500</v>
      </c>
      <c r="K15" s="5">
        <v>0</v>
      </c>
      <c r="L15" s="1"/>
      <c r="M15" s="4" t="s">
        <v>35</v>
      </c>
      <c r="N15" s="5">
        <v>4000</v>
      </c>
      <c r="O15" s="1"/>
      <c r="P15" s="10">
        <v>44489</v>
      </c>
      <c r="Q15" s="4" t="s">
        <v>32</v>
      </c>
      <c r="R15" s="5">
        <v>2000</v>
      </c>
      <c r="S15" s="1"/>
      <c r="T15" s="4"/>
      <c r="U15" s="4"/>
      <c r="V15" s="4"/>
    </row>
    <row r="16" spans="1:22" x14ac:dyDescent="0.2">
      <c r="A16" s="5">
        <v>12</v>
      </c>
      <c r="B16" s="5">
        <v>2620</v>
      </c>
      <c r="C16" s="5">
        <v>3823</v>
      </c>
      <c r="D16" s="1"/>
      <c r="E16" s="5">
        <v>12</v>
      </c>
      <c r="F16" s="5">
        <v>7875</v>
      </c>
      <c r="G16" s="5">
        <v>5883</v>
      </c>
      <c r="H16" s="1"/>
      <c r="I16" s="5">
        <v>12</v>
      </c>
      <c r="J16" s="5">
        <v>2000</v>
      </c>
      <c r="K16" s="5">
        <v>0</v>
      </c>
      <c r="L16" s="1"/>
      <c r="M16" s="12" t="s">
        <v>36</v>
      </c>
      <c r="N16" s="13">
        <v>123100</v>
      </c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s="5">
        <v>13</v>
      </c>
      <c r="B17" s="5">
        <v>2300</v>
      </c>
      <c r="C17" s="5">
        <v>3004</v>
      </c>
      <c r="D17" s="1"/>
      <c r="E17" s="5">
        <v>13</v>
      </c>
      <c r="F17" s="5">
        <v>20805</v>
      </c>
      <c r="G17" s="5">
        <v>3769</v>
      </c>
      <c r="H17" s="1"/>
      <c r="I17" s="5">
        <v>13</v>
      </c>
      <c r="J17" s="5">
        <v>5200</v>
      </c>
      <c r="K17" s="5">
        <v>0</v>
      </c>
      <c r="L17" s="1"/>
      <c r="M17" s="78" t="s">
        <v>37</v>
      </c>
      <c r="N17" s="79"/>
      <c r="O17" s="1"/>
      <c r="P17" s="80" t="s">
        <v>38</v>
      </c>
      <c r="Q17" s="79"/>
      <c r="R17" s="1"/>
      <c r="S17" s="1"/>
      <c r="T17" s="1"/>
      <c r="U17" s="1"/>
      <c r="V17" s="1"/>
    </row>
    <row r="18" spans="1:22" x14ac:dyDescent="0.2">
      <c r="A18" s="5">
        <v>14</v>
      </c>
      <c r="B18" s="5">
        <v>3520</v>
      </c>
      <c r="C18" s="5">
        <v>6315</v>
      </c>
      <c r="D18" s="1"/>
      <c r="E18" s="5">
        <v>14</v>
      </c>
      <c r="F18" s="5">
        <v>17279</v>
      </c>
      <c r="G18" s="5">
        <v>9679</v>
      </c>
      <c r="H18" s="1"/>
      <c r="I18" s="5">
        <v>14</v>
      </c>
      <c r="J18" s="5">
        <v>5400</v>
      </c>
      <c r="K18" s="5">
        <v>0</v>
      </c>
      <c r="L18" s="1"/>
      <c r="M18" s="2" t="s">
        <v>39</v>
      </c>
      <c r="N18" s="3" t="s">
        <v>6</v>
      </c>
      <c r="O18" s="1"/>
      <c r="P18" s="2" t="s">
        <v>5</v>
      </c>
      <c r="Q18" s="3" t="s">
        <v>6</v>
      </c>
      <c r="R18" s="1"/>
      <c r="S18" s="1"/>
      <c r="T18" s="1"/>
      <c r="U18" s="1"/>
      <c r="V18" s="1"/>
    </row>
    <row r="19" spans="1:22" x14ac:dyDescent="0.2">
      <c r="A19" s="5">
        <v>15</v>
      </c>
      <c r="B19" s="5">
        <v>1575</v>
      </c>
      <c r="C19" s="5">
        <v>2352</v>
      </c>
      <c r="D19" s="1"/>
      <c r="E19" s="5">
        <v>15</v>
      </c>
      <c r="F19" s="5">
        <v>12685</v>
      </c>
      <c r="G19" s="5">
        <v>5570</v>
      </c>
      <c r="H19" s="1"/>
      <c r="I19" s="5">
        <v>15</v>
      </c>
      <c r="J19" s="5">
        <v>15100</v>
      </c>
      <c r="K19" s="5">
        <v>0</v>
      </c>
      <c r="L19" s="1" t="s">
        <v>40</v>
      </c>
      <c r="M19" s="4" t="s">
        <v>41</v>
      </c>
      <c r="N19" s="5">
        <v>33400</v>
      </c>
      <c r="O19" s="1"/>
      <c r="P19" s="4" t="s">
        <v>42</v>
      </c>
      <c r="Q19" s="76">
        <v>563021</v>
      </c>
      <c r="R19" s="1"/>
      <c r="S19" s="1"/>
      <c r="T19" s="1"/>
      <c r="U19" s="1"/>
      <c r="V19" s="1"/>
    </row>
    <row r="20" spans="1:22" x14ac:dyDescent="0.2">
      <c r="A20" s="5">
        <v>16</v>
      </c>
      <c r="B20" s="5">
        <v>1465</v>
      </c>
      <c r="C20" s="5">
        <v>1174</v>
      </c>
      <c r="D20" s="1"/>
      <c r="E20" s="5">
        <v>16</v>
      </c>
      <c r="F20" s="5">
        <v>10985</v>
      </c>
      <c r="G20" s="5">
        <v>3450</v>
      </c>
      <c r="H20" s="1"/>
      <c r="I20" s="5">
        <v>16</v>
      </c>
      <c r="J20" s="5">
        <v>2200</v>
      </c>
      <c r="K20" s="5">
        <v>0</v>
      </c>
      <c r="L20" s="1"/>
      <c r="M20" s="4" t="s">
        <v>43</v>
      </c>
      <c r="N20" s="5">
        <v>19192.89</v>
      </c>
      <c r="O20" s="1"/>
      <c r="P20" s="4" t="s">
        <v>44</v>
      </c>
      <c r="Q20" s="76">
        <v>518281.64</v>
      </c>
      <c r="R20" s="1"/>
      <c r="S20" s="1"/>
      <c r="T20" s="1"/>
      <c r="U20" s="1"/>
      <c r="V20" s="1"/>
    </row>
    <row r="21" spans="1:22" x14ac:dyDescent="0.2">
      <c r="A21" s="5">
        <v>17</v>
      </c>
      <c r="B21" s="5">
        <v>4965</v>
      </c>
      <c r="C21" s="5">
        <v>2760</v>
      </c>
      <c r="D21" s="1"/>
      <c r="E21" s="5">
        <v>17</v>
      </c>
      <c r="F21" s="5">
        <v>19575</v>
      </c>
      <c r="G21" s="5">
        <v>6582</v>
      </c>
      <c r="H21" s="1"/>
      <c r="I21" s="5">
        <v>17</v>
      </c>
      <c r="J21" s="5">
        <v>500</v>
      </c>
      <c r="K21" s="5">
        <v>0</v>
      </c>
      <c r="L21" s="1" t="s">
        <v>45</v>
      </c>
      <c r="M21" s="4" t="s">
        <v>46</v>
      </c>
      <c r="N21" s="5">
        <v>2500</v>
      </c>
      <c r="O21" s="1"/>
      <c r="P21" s="12" t="s">
        <v>47</v>
      </c>
      <c r="Q21" s="75">
        <v>44739.359999999986</v>
      </c>
      <c r="R21" s="1"/>
      <c r="S21" s="1"/>
      <c r="T21" s="1"/>
      <c r="U21" s="1"/>
      <c r="V21" s="1"/>
    </row>
    <row r="22" spans="1:22" x14ac:dyDescent="0.2">
      <c r="A22" s="5">
        <v>18</v>
      </c>
      <c r="B22" s="5">
        <v>0</v>
      </c>
      <c r="C22" s="5">
        <v>0</v>
      </c>
      <c r="D22" s="11" t="s">
        <v>21</v>
      </c>
      <c r="E22" s="5">
        <v>18</v>
      </c>
      <c r="F22" s="5">
        <v>5230</v>
      </c>
      <c r="G22" s="5">
        <v>1875</v>
      </c>
      <c r="H22" s="1"/>
      <c r="I22" s="5">
        <v>18</v>
      </c>
      <c r="J22" s="5">
        <v>2000</v>
      </c>
      <c r="K22" s="5">
        <v>0</v>
      </c>
      <c r="L22" s="1"/>
      <c r="M22" s="4" t="s">
        <v>48</v>
      </c>
      <c r="N22" s="5">
        <v>6297</v>
      </c>
      <c r="O22" s="1"/>
      <c r="P22" s="4" t="s">
        <v>49</v>
      </c>
      <c r="Q22" s="76">
        <v>35000</v>
      </c>
      <c r="R22" s="1"/>
      <c r="S22" s="1"/>
      <c r="T22" s="1"/>
      <c r="U22" s="1"/>
      <c r="V22" s="1"/>
    </row>
    <row r="23" spans="1:22" x14ac:dyDescent="0.2">
      <c r="A23" s="5">
        <v>19</v>
      </c>
      <c r="B23" s="5">
        <v>3824</v>
      </c>
      <c r="C23" s="5">
        <v>7173</v>
      </c>
      <c r="D23" s="1"/>
      <c r="E23" s="5">
        <v>19</v>
      </c>
      <c r="F23" s="5">
        <v>11010</v>
      </c>
      <c r="G23" s="5">
        <v>4680</v>
      </c>
      <c r="H23" s="1"/>
      <c r="I23" s="5">
        <v>19</v>
      </c>
      <c r="J23" s="5">
        <v>1200</v>
      </c>
      <c r="K23" s="5">
        <v>0</v>
      </c>
      <c r="L23" s="1"/>
      <c r="M23" s="4" t="s">
        <v>50</v>
      </c>
      <c r="N23" s="5">
        <v>1690</v>
      </c>
      <c r="O23" s="1"/>
      <c r="P23" s="1"/>
      <c r="Q23" s="1"/>
      <c r="R23" s="1"/>
      <c r="S23" s="1"/>
      <c r="T23" s="1"/>
      <c r="U23" s="1"/>
      <c r="V23" s="1"/>
    </row>
    <row r="24" spans="1:22" x14ac:dyDescent="0.2">
      <c r="A24" s="5">
        <v>20</v>
      </c>
      <c r="B24" s="5">
        <v>2000</v>
      </c>
      <c r="C24" s="5">
        <v>5555</v>
      </c>
      <c r="D24" s="1"/>
      <c r="E24" s="5">
        <v>20</v>
      </c>
      <c r="F24" s="5">
        <v>10810</v>
      </c>
      <c r="G24" s="5">
        <v>5197</v>
      </c>
      <c r="H24" s="1"/>
      <c r="I24" s="5">
        <v>20</v>
      </c>
      <c r="J24" s="5">
        <v>500</v>
      </c>
      <c r="K24" s="5">
        <v>0</v>
      </c>
      <c r="L24" s="1"/>
      <c r="M24" s="4" t="s">
        <v>51</v>
      </c>
      <c r="N24" s="5">
        <v>3000</v>
      </c>
      <c r="O24" s="1"/>
      <c r="P24" s="1"/>
      <c r="Q24" s="1"/>
      <c r="R24" s="1"/>
      <c r="S24" s="1"/>
      <c r="T24" s="1"/>
      <c r="U24" s="1"/>
      <c r="V24" s="1"/>
    </row>
    <row r="25" spans="1:22" x14ac:dyDescent="0.2">
      <c r="A25" s="5">
        <v>21</v>
      </c>
      <c r="B25" s="5">
        <v>1328</v>
      </c>
      <c r="C25" s="5">
        <v>7782</v>
      </c>
      <c r="D25" s="1"/>
      <c r="E25" s="5">
        <v>21</v>
      </c>
      <c r="F25" s="5">
        <v>22500</v>
      </c>
      <c r="G25" s="5">
        <v>4335</v>
      </c>
      <c r="H25" s="1"/>
      <c r="I25" s="5">
        <v>21</v>
      </c>
      <c r="J25" s="5">
        <v>500</v>
      </c>
      <c r="K25" s="5">
        <v>0</v>
      </c>
      <c r="L25" s="1"/>
      <c r="M25" s="4" t="s">
        <v>52</v>
      </c>
      <c r="N25" s="5">
        <v>5110.25</v>
      </c>
      <c r="O25" s="1"/>
      <c r="P25" s="1"/>
      <c r="Q25" s="1"/>
      <c r="R25" s="1"/>
      <c r="S25" s="1"/>
      <c r="T25" s="1"/>
      <c r="U25" s="1"/>
      <c r="V25" s="1"/>
    </row>
    <row r="26" spans="1:22" x14ac:dyDescent="0.2">
      <c r="A26" s="5">
        <v>22</v>
      </c>
      <c r="B26" s="5">
        <v>1936</v>
      </c>
      <c r="C26" s="5">
        <v>3500</v>
      </c>
      <c r="D26" s="1"/>
      <c r="E26" s="5">
        <v>22</v>
      </c>
      <c r="F26" s="5">
        <v>27590</v>
      </c>
      <c r="G26" s="5">
        <v>8667</v>
      </c>
      <c r="H26" s="1"/>
      <c r="I26" s="5">
        <v>22</v>
      </c>
      <c r="J26" s="5">
        <v>5000</v>
      </c>
      <c r="K26" s="5">
        <v>0</v>
      </c>
      <c r="L26" s="1"/>
      <c r="M26" s="4"/>
      <c r="N26" s="4"/>
      <c r="O26" s="1"/>
      <c r="P26" s="1"/>
      <c r="Q26" s="1"/>
      <c r="R26" s="1"/>
      <c r="S26" s="1"/>
      <c r="T26" s="1"/>
      <c r="U26" s="1"/>
      <c r="V26" s="1"/>
    </row>
    <row r="27" spans="1:22" x14ac:dyDescent="0.2">
      <c r="A27" s="5">
        <v>23</v>
      </c>
      <c r="B27" s="5">
        <v>90</v>
      </c>
      <c r="C27" s="5">
        <v>2231</v>
      </c>
      <c r="D27" s="1"/>
      <c r="E27" s="5">
        <v>23</v>
      </c>
      <c r="F27" s="5">
        <v>15350</v>
      </c>
      <c r="G27" s="5">
        <v>12690</v>
      </c>
      <c r="H27" s="1"/>
      <c r="I27" s="5">
        <v>23</v>
      </c>
      <c r="J27" s="5">
        <v>1200</v>
      </c>
      <c r="K27" s="5">
        <v>0</v>
      </c>
      <c r="L27" s="1"/>
      <c r="M27" s="4"/>
      <c r="N27" s="4"/>
      <c r="O27" s="1"/>
      <c r="P27" s="1"/>
      <c r="Q27" s="1"/>
      <c r="R27" s="1"/>
      <c r="S27" s="1"/>
      <c r="T27" s="1"/>
      <c r="U27" s="1"/>
      <c r="V27" s="1"/>
    </row>
    <row r="28" spans="1:22" x14ac:dyDescent="0.2">
      <c r="A28" s="5">
        <v>24</v>
      </c>
      <c r="B28" s="5">
        <v>1680</v>
      </c>
      <c r="C28" s="5">
        <v>709</v>
      </c>
      <c r="D28" s="1"/>
      <c r="E28" s="5">
        <v>24</v>
      </c>
      <c r="F28" s="5">
        <v>18700</v>
      </c>
      <c r="G28" s="5">
        <v>5099</v>
      </c>
      <c r="H28" s="1"/>
      <c r="I28" s="5">
        <v>24</v>
      </c>
      <c r="J28" s="5">
        <v>1000</v>
      </c>
      <c r="K28" s="5">
        <v>0</v>
      </c>
      <c r="L28" s="1"/>
      <c r="M28" s="4"/>
      <c r="N28" s="4"/>
      <c r="O28" s="1"/>
      <c r="P28" s="1"/>
      <c r="Q28" s="1"/>
      <c r="R28" s="1"/>
      <c r="S28" s="1"/>
      <c r="T28" s="1"/>
      <c r="U28" s="1"/>
      <c r="V28" s="1"/>
    </row>
    <row r="29" spans="1:22" x14ac:dyDescent="0.2">
      <c r="A29" s="5">
        <v>25</v>
      </c>
      <c r="B29" s="5">
        <v>0</v>
      </c>
      <c r="C29" s="5">
        <v>0</v>
      </c>
      <c r="D29" s="1"/>
      <c r="E29" s="5">
        <v>25</v>
      </c>
      <c r="F29" s="5">
        <v>19960</v>
      </c>
      <c r="G29" s="5">
        <v>5434</v>
      </c>
      <c r="H29" s="1"/>
      <c r="I29" s="5">
        <v>25</v>
      </c>
      <c r="J29" s="5">
        <v>1000</v>
      </c>
      <c r="K29" s="5">
        <v>0</v>
      </c>
      <c r="L29" s="1"/>
      <c r="M29" s="4"/>
      <c r="N29" s="4"/>
      <c r="O29" s="1"/>
      <c r="P29" s="1"/>
      <c r="Q29" s="1"/>
      <c r="R29" s="1"/>
      <c r="S29" s="1"/>
      <c r="T29" s="1"/>
      <c r="U29" s="1"/>
      <c r="V29" s="1"/>
    </row>
    <row r="30" spans="1:22" x14ac:dyDescent="0.2">
      <c r="A30" s="5">
        <v>26</v>
      </c>
      <c r="B30" s="5">
        <v>2970</v>
      </c>
      <c r="C30" s="5">
        <v>2328</v>
      </c>
      <c r="D30" s="1"/>
      <c r="E30" s="5">
        <v>26</v>
      </c>
      <c r="F30" s="5">
        <v>9375</v>
      </c>
      <c r="G30" s="5">
        <v>6895</v>
      </c>
      <c r="H30" s="1"/>
      <c r="I30" s="5">
        <v>26</v>
      </c>
      <c r="J30" s="5">
        <v>0</v>
      </c>
      <c r="K30" s="5">
        <v>0</v>
      </c>
      <c r="L30" s="1"/>
      <c r="M30" s="12" t="s">
        <v>36</v>
      </c>
      <c r="N30" s="13">
        <v>71190.14</v>
      </c>
      <c r="O30" s="1"/>
      <c r="P30" s="1"/>
      <c r="Q30" s="1"/>
      <c r="R30" s="1"/>
      <c r="S30" s="1"/>
      <c r="T30" s="1"/>
      <c r="U30" s="1"/>
      <c r="V30" s="1"/>
    </row>
    <row r="31" spans="1:22" x14ac:dyDescent="0.2">
      <c r="A31" s="5">
        <v>27</v>
      </c>
      <c r="B31" s="5">
        <v>1757</v>
      </c>
      <c r="C31" s="5">
        <v>3819</v>
      </c>
      <c r="D31" s="1"/>
      <c r="E31" s="5">
        <v>27</v>
      </c>
      <c r="F31" s="5">
        <v>9875</v>
      </c>
      <c r="G31" s="5">
        <v>4234</v>
      </c>
      <c r="H31" s="1"/>
      <c r="I31" s="5">
        <v>27</v>
      </c>
      <c r="J31" s="5">
        <v>0</v>
      </c>
      <c r="K31" s="5">
        <v>0</v>
      </c>
      <c r="L31" s="1"/>
      <c r="M31" s="4"/>
      <c r="N31" s="4"/>
      <c r="O31" s="1"/>
      <c r="P31" s="1"/>
      <c r="Q31" s="1"/>
      <c r="R31" s="1"/>
      <c r="S31" s="1"/>
      <c r="T31" s="1"/>
      <c r="U31" s="1"/>
      <c r="V31" s="1"/>
    </row>
    <row r="32" spans="1:22" x14ac:dyDescent="0.2">
      <c r="A32" s="5">
        <v>28</v>
      </c>
      <c r="B32" s="5">
        <v>2040</v>
      </c>
      <c r="C32" s="5">
        <v>3228</v>
      </c>
      <c r="D32" s="1"/>
      <c r="E32" s="5">
        <v>28</v>
      </c>
      <c r="F32" s="5">
        <v>6340</v>
      </c>
      <c r="G32" s="5">
        <v>6399</v>
      </c>
      <c r="H32" s="1"/>
      <c r="I32" s="5">
        <v>28</v>
      </c>
      <c r="J32" s="5">
        <v>700</v>
      </c>
      <c r="K32" s="5">
        <v>0</v>
      </c>
      <c r="L32" s="1"/>
      <c r="M32" s="81" t="s">
        <v>53</v>
      </c>
      <c r="N32" s="79"/>
      <c r="O32" s="1"/>
      <c r="P32" s="1"/>
      <c r="Q32" s="1"/>
      <c r="R32" s="1"/>
      <c r="S32" s="1"/>
      <c r="T32" s="1"/>
      <c r="U32" s="1"/>
      <c r="V32" s="1"/>
    </row>
    <row r="33" spans="1:22" x14ac:dyDescent="0.2">
      <c r="A33" s="5">
        <v>29</v>
      </c>
      <c r="B33" s="5">
        <v>1130</v>
      </c>
      <c r="C33" s="5">
        <v>7548</v>
      </c>
      <c r="D33" s="1"/>
      <c r="E33" s="5">
        <v>29</v>
      </c>
      <c r="F33" s="5">
        <v>17860</v>
      </c>
      <c r="G33" s="5">
        <v>5992</v>
      </c>
      <c r="H33" s="1"/>
      <c r="I33" s="5">
        <v>29</v>
      </c>
      <c r="J33" s="5">
        <v>21100</v>
      </c>
      <c r="K33" s="5">
        <v>0</v>
      </c>
      <c r="L33" s="1"/>
      <c r="M33" s="2" t="s">
        <v>39</v>
      </c>
      <c r="N33" s="3" t="s">
        <v>6</v>
      </c>
      <c r="O33" s="1"/>
      <c r="P33" s="1"/>
      <c r="Q33" s="1"/>
      <c r="R33" s="1"/>
      <c r="S33" s="1"/>
      <c r="T33" s="1"/>
      <c r="U33" s="1"/>
      <c r="V33" s="1"/>
    </row>
    <row r="34" spans="1:22" x14ac:dyDescent="0.2">
      <c r="A34" s="5">
        <v>30</v>
      </c>
      <c r="B34" s="5">
        <v>3965</v>
      </c>
      <c r="C34" s="5">
        <v>1547</v>
      </c>
      <c r="D34" s="1"/>
      <c r="E34" s="5">
        <v>30</v>
      </c>
      <c r="F34" s="5">
        <v>9570</v>
      </c>
      <c r="G34" s="5">
        <v>7621</v>
      </c>
      <c r="H34" s="1"/>
      <c r="I34" s="5">
        <v>30</v>
      </c>
      <c r="J34" s="5">
        <v>0</v>
      </c>
      <c r="K34" s="5">
        <v>0</v>
      </c>
      <c r="L34" s="1"/>
      <c r="M34" s="4" t="s">
        <v>54</v>
      </c>
      <c r="N34" s="5">
        <v>1818</v>
      </c>
      <c r="O34" s="1"/>
      <c r="P34" s="1"/>
      <c r="Q34" s="1"/>
      <c r="R34" s="1"/>
      <c r="S34" s="1"/>
      <c r="T34" s="1"/>
      <c r="U34" s="1"/>
      <c r="V34" s="1"/>
    </row>
    <row r="35" spans="1:22" x14ac:dyDescent="0.2">
      <c r="A35" s="12" t="s">
        <v>36</v>
      </c>
      <c r="B35" s="13">
        <v>64006</v>
      </c>
      <c r="C35" s="13">
        <v>88651.5</v>
      </c>
      <c r="D35" s="1"/>
      <c r="E35" s="12" t="s">
        <v>36</v>
      </c>
      <c r="F35" s="13">
        <v>414715</v>
      </c>
      <c r="G35" s="13">
        <v>184757</v>
      </c>
      <c r="H35" s="1"/>
      <c r="I35" s="12" t="s">
        <v>36</v>
      </c>
      <c r="J35" s="13">
        <v>84300</v>
      </c>
      <c r="K35" s="13">
        <v>72</v>
      </c>
      <c r="L35" s="1"/>
      <c r="M35" s="4" t="s">
        <v>55</v>
      </c>
      <c r="N35" s="5">
        <v>2085</v>
      </c>
      <c r="O35" s="1"/>
      <c r="P35" s="1"/>
      <c r="Q35" s="1"/>
      <c r="R35" s="1"/>
      <c r="S35" s="1"/>
      <c r="T35" s="1"/>
      <c r="U35" s="1"/>
      <c r="V35" s="1"/>
    </row>
    <row r="36" spans="1:22" x14ac:dyDescent="0.2">
      <c r="A36" s="77" t="s">
        <v>56</v>
      </c>
      <c r="B36" s="82">
        <v>-24645.5</v>
      </c>
      <c r="C36" s="79"/>
      <c r="D36" s="1"/>
      <c r="E36" s="3" t="s">
        <v>56</v>
      </c>
      <c r="F36" s="82">
        <v>184757</v>
      </c>
      <c r="G36" s="79"/>
      <c r="H36" s="1"/>
      <c r="I36" s="3" t="s">
        <v>56</v>
      </c>
      <c r="J36" s="82">
        <v>72</v>
      </c>
      <c r="K36" s="79"/>
      <c r="L36" s="1"/>
      <c r="M36" s="4" t="s">
        <v>57</v>
      </c>
      <c r="N36" s="5">
        <v>1517</v>
      </c>
      <c r="O36" s="1"/>
      <c r="P36" s="1"/>
      <c r="Q36" s="1"/>
      <c r="R36" s="1"/>
      <c r="S36" s="1"/>
      <c r="T36" s="1"/>
      <c r="U36" s="1"/>
      <c r="V36" s="1"/>
    </row>
    <row r="37" spans="1:22" x14ac:dyDescent="0.2">
      <c r="A37" s="5">
        <v>31</v>
      </c>
      <c r="B37" s="5">
        <v>930</v>
      </c>
      <c r="C37" s="5">
        <v>1845.5</v>
      </c>
      <c r="D37" s="1"/>
      <c r="E37" s="5">
        <v>31</v>
      </c>
      <c r="F37" s="5">
        <v>9700</v>
      </c>
      <c r="G37" s="5">
        <v>5755</v>
      </c>
      <c r="H37" s="1"/>
      <c r="I37" s="5">
        <v>31</v>
      </c>
      <c r="J37" s="5">
        <v>1200</v>
      </c>
      <c r="K37" s="5">
        <v>0</v>
      </c>
      <c r="L37" s="1"/>
      <c r="M37" s="4" t="s">
        <v>58</v>
      </c>
      <c r="N37" s="5">
        <v>750</v>
      </c>
      <c r="O37" s="1"/>
      <c r="P37" s="1"/>
      <c r="Q37" s="1"/>
      <c r="R37" s="1"/>
      <c r="S37" s="1"/>
      <c r="T37" s="1"/>
      <c r="U37" s="1"/>
      <c r="V37" s="1"/>
    </row>
    <row r="38" spans="1:2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4" t="s">
        <v>59</v>
      </c>
      <c r="N38" s="15">
        <v>960</v>
      </c>
      <c r="O38" s="1"/>
      <c r="P38" s="1"/>
      <c r="Q38" s="1"/>
      <c r="R38" s="1"/>
      <c r="S38" s="1"/>
      <c r="T38" s="1"/>
      <c r="U38" s="1"/>
      <c r="V38" s="1"/>
    </row>
    <row r="39" spans="1:2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4" t="s">
        <v>60</v>
      </c>
      <c r="N39" s="5">
        <v>1300</v>
      </c>
      <c r="O39" s="1"/>
      <c r="P39" s="1"/>
      <c r="Q39" s="1"/>
      <c r="R39" s="1"/>
      <c r="S39" s="1"/>
      <c r="T39" s="1"/>
      <c r="U39" s="1"/>
      <c r="V39" s="1"/>
    </row>
    <row r="40" spans="1:22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" t="s">
        <v>61</v>
      </c>
      <c r="N40" s="5">
        <v>9733</v>
      </c>
      <c r="O40" s="1"/>
      <c r="P40" s="1"/>
      <c r="Q40" s="1"/>
      <c r="R40" s="1"/>
      <c r="S40" s="1"/>
      <c r="T40" s="1"/>
      <c r="U40" s="1"/>
      <c r="V40" s="1"/>
    </row>
    <row r="41" spans="1:2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4" t="s">
        <v>62</v>
      </c>
      <c r="N41" s="5">
        <v>10000</v>
      </c>
      <c r="O41" s="1"/>
      <c r="P41" s="1"/>
      <c r="Q41" s="1"/>
      <c r="R41" s="1"/>
      <c r="S41" s="1"/>
      <c r="T41" s="1"/>
      <c r="U41" s="1"/>
      <c r="V41" s="1"/>
    </row>
    <row r="42" spans="1:2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4" t="s">
        <v>63</v>
      </c>
      <c r="N42" s="5">
        <v>5314</v>
      </c>
      <c r="O42" s="1"/>
      <c r="P42" s="1"/>
      <c r="Q42" s="1"/>
      <c r="R42" s="1"/>
      <c r="S42" s="1"/>
      <c r="T42" s="1"/>
      <c r="U42" s="1"/>
      <c r="V42" s="1"/>
    </row>
    <row r="43" spans="1:2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" t="s">
        <v>64</v>
      </c>
      <c r="N43" s="5">
        <v>990</v>
      </c>
      <c r="O43" s="1"/>
      <c r="P43" s="1"/>
      <c r="Q43" s="1"/>
      <c r="R43" s="1"/>
      <c r="S43" s="1"/>
      <c r="T43" s="1"/>
      <c r="U43" s="1"/>
      <c r="V43" s="1"/>
    </row>
    <row r="44" spans="1:2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4" t="s">
        <v>65</v>
      </c>
      <c r="N44" s="5">
        <v>771</v>
      </c>
      <c r="O44" s="1"/>
      <c r="P44" s="1"/>
      <c r="Q44" s="1"/>
      <c r="R44" s="1"/>
      <c r="S44" s="1"/>
      <c r="T44" s="1"/>
      <c r="U44" s="1"/>
      <c r="V44" s="1"/>
    </row>
    <row r="45" spans="1:2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4" t="s">
        <v>61</v>
      </c>
      <c r="N45" s="5">
        <v>4673</v>
      </c>
      <c r="O45" s="1"/>
      <c r="P45" s="1"/>
      <c r="Q45" s="1"/>
      <c r="R45" s="1"/>
      <c r="S45" s="1"/>
      <c r="T45" s="1"/>
      <c r="U45" s="1"/>
      <c r="V45" s="1"/>
    </row>
    <row r="46" spans="1:2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4" t="s">
        <v>66</v>
      </c>
      <c r="N46" s="5">
        <v>7100</v>
      </c>
      <c r="O46" s="1"/>
      <c r="P46" s="1"/>
      <c r="Q46" s="1"/>
      <c r="R46" s="1"/>
      <c r="S46" s="1"/>
      <c r="T46" s="1"/>
      <c r="U46" s="1"/>
      <c r="V46" s="1"/>
    </row>
    <row r="47" spans="1:2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4" t="s">
        <v>67</v>
      </c>
      <c r="N47" s="5">
        <v>3500</v>
      </c>
      <c r="O47" s="1"/>
      <c r="P47" s="1"/>
      <c r="Q47" s="1"/>
      <c r="R47" s="1"/>
      <c r="S47" s="1"/>
      <c r="T47" s="1"/>
      <c r="U47" s="1"/>
      <c r="V47" s="1"/>
    </row>
    <row r="48" spans="1:2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4"/>
      <c r="N48" s="4"/>
      <c r="O48" s="1"/>
      <c r="P48" s="1"/>
      <c r="Q48" s="1"/>
      <c r="R48" s="1"/>
      <c r="S48" s="1"/>
      <c r="T48" s="1"/>
      <c r="U48" s="1"/>
      <c r="V48" s="1"/>
    </row>
    <row r="49" spans="1:2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"/>
      <c r="N49" s="4"/>
      <c r="O49" s="1"/>
      <c r="P49" s="1"/>
      <c r="Q49" s="1"/>
      <c r="R49" s="1"/>
      <c r="S49" s="1"/>
      <c r="T49" s="1"/>
      <c r="U49" s="1"/>
      <c r="V49" s="1"/>
    </row>
    <row r="50" spans="1:2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4"/>
      <c r="N50" s="4"/>
      <c r="O50" s="1"/>
      <c r="P50" s="1"/>
      <c r="Q50" s="1"/>
      <c r="R50" s="1"/>
      <c r="S50" s="1"/>
      <c r="T50" s="1"/>
      <c r="U50" s="1"/>
      <c r="V50" s="1"/>
    </row>
    <row r="51" spans="1:2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4"/>
      <c r="N51" s="4"/>
      <c r="O51" s="1"/>
      <c r="P51" s="1"/>
      <c r="Q51" s="1"/>
      <c r="R51" s="1"/>
      <c r="S51" s="1"/>
      <c r="T51" s="1"/>
      <c r="U51" s="1"/>
      <c r="V51" s="1"/>
    </row>
    <row r="52" spans="1:22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4"/>
      <c r="O52" s="1"/>
      <c r="P52" s="1"/>
      <c r="Q52" s="1"/>
      <c r="R52" s="1"/>
      <c r="S52" s="1"/>
      <c r="T52" s="1"/>
      <c r="U52" s="1"/>
      <c r="V52" s="1"/>
    </row>
    <row r="53" spans="1:2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4"/>
      <c r="O53" s="1"/>
      <c r="P53" s="1"/>
      <c r="Q53" s="1"/>
      <c r="R53" s="1"/>
      <c r="S53" s="1"/>
      <c r="T53" s="1"/>
      <c r="U53" s="1"/>
      <c r="V53" s="1"/>
    </row>
    <row r="54" spans="1:22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4"/>
      <c r="O54" s="1"/>
      <c r="P54" s="1"/>
      <c r="Q54" s="1"/>
      <c r="R54" s="1"/>
      <c r="S54" s="1"/>
      <c r="T54" s="1"/>
      <c r="U54" s="1"/>
      <c r="V54" s="1"/>
    </row>
    <row r="55" spans="1:22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 t="s">
        <v>36</v>
      </c>
      <c r="N55" s="5">
        <v>50511</v>
      </c>
      <c r="O55" s="1"/>
      <c r="P55" s="1"/>
      <c r="Q55" s="1"/>
      <c r="R55" s="1"/>
      <c r="S55" s="1"/>
      <c r="T55" s="1"/>
      <c r="U55" s="1"/>
      <c r="V55" s="1"/>
    </row>
  </sheetData>
  <mergeCells count="13">
    <mergeCell ref="P4:R4"/>
    <mergeCell ref="T4:V4"/>
    <mergeCell ref="A1:P1"/>
    <mergeCell ref="M2:N2"/>
    <mergeCell ref="A3:C3"/>
    <mergeCell ref="E3:G3"/>
    <mergeCell ref="I3:K3"/>
    <mergeCell ref="M17:N17"/>
    <mergeCell ref="P17:Q17"/>
    <mergeCell ref="M32:N32"/>
    <mergeCell ref="B36:C36"/>
    <mergeCell ref="F36:G36"/>
    <mergeCell ref="J36:K36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55"/>
  <sheetViews>
    <sheetView topLeftCell="A46" workbookViewId="0">
      <selection activeCell="N55" sqref="N55"/>
    </sheetView>
  </sheetViews>
  <sheetFormatPr defaultColWidth="12.5703125" defaultRowHeight="15.75" customHeight="1" x14ac:dyDescent="0.2"/>
  <cols>
    <col min="1" max="1" width="6.85546875" customWidth="1"/>
    <col min="2" max="2" width="6.42578125" customWidth="1"/>
    <col min="3" max="3" width="6.5703125" customWidth="1"/>
    <col min="4" max="4" width="4.7109375" customWidth="1"/>
    <col min="5" max="5" width="6.140625" customWidth="1"/>
    <col min="6" max="6" width="6.42578125" customWidth="1"/>
    <col min="7" max="7" width="6.5703125" customWidth="1"/>
    <col min="8" max="8" width="5.7109375" customWidth="1"/>
    <col min="9" max="9" width="7.42578125" customWidth="1"/>
    <col min="10" max="10" width="6.42578125" customWidth="1"/>
    <col min="11" max="11" width="6.5703125" customWidth="1"/>
    <col min="12" max="12" width="5.5703125" customWidth="1"/>
    <col min="15" max="15" width="6.140625" customWidth="1"/>
    <col min="19" max="19" width="6.5703125" customWidth="1"/>
    <col min="20" max="21" width="7.5703125" customWidth="1"/>
    <col min="22" max="22" width="4.140625" customWidth="1"/>
    <col min="23" max="23" width="6.42578125" customWidth="1"/>
    <col min="24" max="24" width="5.140625" customWidth="1"/>
  </cols>
  <sheetData>
    <row r="1" spans="1:26" x14ac:dyDescent="0.2">
      <c r="A1" s="80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79"/>
      <c r="Q1" s="1"/>
      <c r="R1" s="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5" t="s">
        <v>1</v>
      </c>
      <c r="N2" s="79"/>
      <c r="O2" s="1"/>
      <c r="P2" s="1"/>
      <c r="Q2" s="1"/>
      <c r="R2" s="1"/>
    </row>
    <row r="3" spans="1:26" x14ac:dyDescent="0.2">
      <c r="A3" s="86" t="s">
        <v>2</v>
      </c>
      <c r="B3" s="84"/>
      <c r="C3" s="79"/>
      <c r="D3" s="1"/>
      <c r="E3" s="87" t="s">
        <v>3</v>
      </c>
      <c r="F3" s="84"/>
      <c r="G3" s="79"/>
      <c r="H3" s="1"/>
      <c r="I3" s="88" t="s">
        <v>4</v>
      </c>
      <c r="J3" s="84"/>
      <c r="K3" s="79"/>
      <c r="L3" s="1"/>
      <c r="M3" s="2" t="s">
        <v>5</v>
      </c>
      <c r="N3" s="3" t="s">
        <v>6</v>
      </c>
      <c r="O3" s="1"/>
      <c r="P3" s="1"/>
      <c r="Q3" s="1"/>
      <c r="R3" s="1"/>
    </row>
    <row r="4" spans="1:26" x14ac:dyDescent="0.2">
      <c r="A4" s="4" t="s">
        <v>7</v>
      </c>
      <c r="B4" s="4" t="s">
        <v>8</v>
      </c>
      <c r="C4" s="4" t="s">
        <v>9</v>
      </c>
      <c r="D4" s="1"/>
      <c r="E4" s="4" t="s">
        <v>7</v>
      </c>
      <c r="F4" s="4" t="s">
        <v>8</v>
      </c>
      <c r="G4" s="4" t="s">
        <v>9</v>
      </c>
      <c r="H4" s="1"/>
      <c r="I4" s="4" t="s">
        <v>7</v>
      </c>
      <c r="J4" s="4" t="s">
        <v>8</v>
      </c>
      <c r="K4" s="4" t="s">
        <v>9</v>
      </c>
      <c r="L4" s="1"/>
      <c r="M4" s="16" t="s">
        <v>69</v>
      </c>
      <c r="N4" s="16">
        <v>17000</v>
      </c>
      <c r="O4" s="11">
        <v>6000</v>
      </c>
      <c r="P4" s="83" t="s">
        <v>11</v>
      </c>
      <c r="Q4" s="84"/>
      <c r="R4" s="79"/>
      <c r="T4" s="1"/>
      <c r="U4" s="1"/>
      <c r="V4" s="1"/>
      <c r="X4" s="1"/>
      <c r="Y4" s="1"/>
      <c r="Z4" s="1"/>
    </row>
    <row r="5" spans="1:26" x14ac:dyDescent="0.2">
      <c r="A5" s="5">
        <v>1</v>
      </c>
      <c r="B5" s="20">
        <v>420</v>
      </c>
      <c r="C5" s="20">
        <v>0</v>
      </c>
      <c r="D5" s="11"/>
      <c r="E5" s="5">
        <v>1</v>
      </c>
      <c r="F5" s="20">
        <v>23189</v>
      </c>
      <c r="G5" s="20">
        <v>13205</v>
      </c>
      <c r="H5" s="7"/>
      <c r="I5" s="5">
        <v>1</v>
      </c>
      <c r="J5" s="20">
        <v>1800</v>
      </c>
      <c r="K5" s="20">
        <v>0</v>
      </c>
      <c r="L5" s="1"/>
      <c r="M5" s="4" t="s">
        <v>12</v>
      </c>
      <c r="N5" s="20">
        <v>18000</v>
      </c>
      <c r="O5" s="11">
        <v>6000</v>
      </c>
      <c r="P5" s="4" t="s">
        <v>13</v>
      </c>
      <c r="Q5" s="4" t="s">
        <v>14</v>
      </c>
      <c r="R5" s="4" t="s">
        <v>6</v>
      </c>
      <c r="T5" s="1"/>
      <c r="U5" s="1"/>
      <c r="V5" s="1"/>
      <c r="X5" s="1"/>
      <c r="Y5" s="1"/>
      <c r="Z5" s="1"/>
    </row>
    <row r="6" spans="1:26" x14ac:dyDescent="0.2">
      <c r="A6" s="5">
        <v>2</v>
      </c>
      <c r="B6" s="20">
        <v>2568</v>
      </c>
      <c r="C6" s="20">
        <v>2544</v>
      </c>
      <c r="D6" s="29"/>
      <c r="E6" s="5">
        <v>2</v>
      </c>
      <c r="F6" s="20">
        <v>20530</v>
      </c>
      <c r="G6" s="20">
        <v>22009</v>
      </c>
      <c r="H6" s="7"/>
      <c r="I6" s="5">
        <v>2</v>
      </c>
      <c r="J6" s="20">
        <v>4900</v>
      </c>
      <c r="K6" s="20">
        <v>0</v>
      </c>
      <c r="L6" s="1"/>
      <c r="M6" s="4" t="s">
        <v>15</v>
      </c>
      <c r="N6" s="20">
        <v>15000</v>
      </c>
      <c r="O6" s="11">
        <v>5000</v>
      </c>
      <c r="P6" s="18"/>
      <c r="Q6" s="19"/>
      <c r="R6" s="20"/>
      <c r="T6" s="61"/>
      <c r="U6" s="11"/>
      <c r="V6" s="29"/>
      <c r="X6" s="61"/>
      <c r="Y6" s="11"/>
      <c r="Z6" s="29"/>
    </row>
    <row r="7" spans="1:26" x14ac:dyDescent="0.2">
      <c r="A7" s="5">
        <v>3</v>
      </c>
      <c r="B7" s="20">
        <v>4340</v>
      </c>
      <c r="C7" s="20">
        <v>3710</v>
      </c>
      <c r="D7" s="7"/>
      <c r="E7" s="5">
        <v>3</v>
      </c>
      <c r="F7" s="20">
        <v>22052</v>
      </c>
      <c r="G7" s="20">
        <v>13548</v>
      </c>
      <c r="H7" s="7"/>
      <c r="I7" s="5">
        <v>3</v>
      </c>
      <c r="J7" s="20">
        <v>12900</v>
      </c>
      <c r="K7" s="20">
        <v>0</v>
      </c>
      <c r="L7" s="11"/>
      <c r="M7" s="4" t="s">
        <v>19</v>
      </c>
      <c r="N7" s="20">
        <v>13000</v>
      </c>
      <c r="O7" s="11">
        <v>4000</v>
      </c>
      <c r="P7" s="21"/>
      <c r="Q7" s="19"/>
      <c r="R7" s="19"/>
      <c r="T7" s="28"/>
      <c r="U7" s="11"/>
      <c r="V7" s="11"/>
      <c r="X7" s="61"/>
      <c r="Y7" s="11"/>
      <c r="Z7" s="11"/>
    </row>
    <row r="8" spans="1:26" x14ac:dyDescent="0.2">
      <c r="A8" s="5">
        <v>4</v>
      </c>
      <c r="B8" s="19">
        <v>0</v>
      </c>
      <c r="C8" s="19">
        <v>0</v>
      </c>
      <c r="D8" s="11" t="s">
        <v>21</v>
      </c>
      <c r="E8" s="5">
        <v>4</v>
      </c>
      <c r="F8" s="19">
        <v>8735</v>
      </c>
      <c r="G8" s="19">
        <v>16512</v>
      </c>
      <c r="H8" s="11"/>
      <c r="I8" s="5">
        <v>4</v>
      </c>
      <c r="J8" s="19">
        <v>13000</v>
      </c>
      <c r="K8" s="19">
        <v>0</v>
      </c>
      <c r="L8" s="1"/>
      <c r="M8" s="4" t="s">
        <v>22</v>
      </c>
      <c r="N8" s="20">
        <v>13000</v>
      </c>
      <c r="O8" s="11">
        <v>4000</v>
      </c>
      <c r="P8" s="21"/>
      <c r="Q8" s="19"/>
      <c r="R8" s="19"/>
      <c r="T8" s="28"/>
      <c r="U8" s="11"/>
      <c r="V8" s="11"/>
      <c r="X8" s="28"/>
      <c r="Y8" s="11"/>
      <c r="Z8" s="11"/>
    </row>
    <row r="9" spans="1:26" x14ac:dyDescent="0.2">
      <c r="A9" s="5">
        <v>5</v>
      </c>
      <c r="B9" s="19">
        <v>6128</v>
      </c>
      <c r="C9" s="19">
        <v>2299</v>
      </c>
      <c r="D9" s="11"/>
      <c r="E9" s="5">
        <v>5</v>
      </c>
      <c r="F9" s="19">
        <v>13022</v>
      </c>
      <c r="G9" s="19">
        <v>4899</v>
      </c>
      <c r="H9" s="11"/>
      <c r="I9" s="5">
        <v>5</v>
      </c>
      <c r="J9" s="19">
        <v>1300</v>
      </c>
      <c r="K9" s="19">
        <v>0</v>
      </c>
      <c r="L9" s="1"/>
      <c r="M9" s="4" t="s">
        <v>24</v>
      </c>
      <c r="N9" s="20">
        <v>8000</v>
      </c>
      <c r="O9" s="11">
        <v>3000</v>
      </c>
      <c r="P9" s="21"/>
      <c r="Q9" s="19"/>
      <c r="R9" s="19"/>
      <c r="T9" s="28"/>
      <c r="U9" s="11"/>
      <c r="V9" s="11"/>
      <c r="X9" s="28"/>
      <c r="Y9" s="11"/>
      <c r="Z9" s="11"/>
    </row>
    <row r="10" spans="1:26" x14ac:dyDescent="0.2">
      <c r="A10" s="5">
        <v>6</v>
      </c>
      <c r="B10" s="19">
        <v>3800</v>
      </c>
      <c r="C10" s="19">
        <v>2600</v>
      </c>
      <c r="D10" s="11"/>
      <c r="E10" s="5">
        <v>6</v>
      </c>
      <c r="F10" s="19">
        <v>24634</v>
      </c>
      <c r="G10" s="19">
        <v>6882</v>
      </c>
      <c r="H10" s="11"/>
      <c r="I10" s="5">
        <v>6</v>
      </c>
      <c r="J10" s="19">
        <v>2500</v>
      </c>
      <c r="K10" s="19">
        <v>0</v>
      </c>
      <c r="L10" s="1"/>
      <c r="M10" s="4"/>
      <c r="N10" s="20"/>
      <c r="O10" s="1"/>
      <c r="P10" s="21"/>
      <c r="Q10" s="19"/>
      <c r="R10" s="19"/>
      <c r="T10" s="28"/>
      <c r="U10" s="11"/>
      <c r="V10" s="11"/>
      <c r="X10" s="28"/>
      <c r="Y10" s="11"/>
      <c r="Z10" s="11"/>
    </row>
    <row r="11" spans="1:26" x14ac:dyDescent="0.2">
      <c r="A11" s="5">
        <v>7</v>
      </c>
      <c r="B11" s="19">
        <v>4688</v>
      </c>
      <c r="C11" s="19">
        <v>4661</v>
      </c>
      <c r="D11" s="11"/>
      <c r="E11" s="5">
        <v>7</v>
      </c>
      <c r="F11" s="19">
        <v>24219</v>
      </c>
      <c r="G11" s="19">
        <v>4896</v>
      </c>
      <c r="H11" s="11"/>
      <c r="I11" s="5">
        <v>7</v>
      </c>
      <c r="J11" s="19">
        <v>2300</v>
      </c>
      <c r="K11" s="19">
        <v>0</v>
      </c>
      <c r="L11" s="1"/>
      <c r="M11" s="4" t="s">
        <v>29</v>
      </c>
      <c r="N11" s="20">
        <v>13000</v>
      </c>
      <c r="O11" s="40">
        <v>4000</v>
      </c>
      <c r="P11" s="21"/>
      <c r="Q11" s="19"/>
      <c r="R11" s="19"/>
      <c r="T11" s="28"/>
      <c r="U11" s="11"/>
      <c r="V11" s="11"/>
      <c r="X11" s="28"/>
      <c r="Y11" s="11"/>
      <c r="Z11" s="11"/>
    </row>
    <row r="12" spans="1:26" x14ac:dyDescent="0.2">
      <c r="A12" s="5">
        <v>8</v>
      </c>
      <c r="B12" s="19">
        <v>5272</v>
      </c>
      <c r="C12" s="19">
        <v>5254</v>
      </c>
      <c r="D12" s="11"/>
      <c r="E12" s="5">
        <v>8</v>
      </c>
      <c r="F12" s="19">
        <v>20094</v>
      </c>
      <c r="G12" s="19">
        <v>5253</v>
      </c>
      <c r="H12" s="11"/>
      <c r="I12" s="5">
        <v>8</v>
      </c>
      <c r="J12" s="19">
        <v>1700</v>
      </c>
      <c r="K12" s="19">
        <v>0</v>
      </c>
      <c r="L12" s="11" t="s">
        <v>132</v>
      </c>
      <c r="M12" s="19" t="s">
        <v>74</v>
      </c>
      <c r="N12" s="20">
        <v>10000</v>
      </c>
      <c r="O12" s="11">
        <v>3000</v>
      </c>
      <c r="P12" s="21"/>
      <c r="Q12" s="19"/>
      <c r="R12" s="19"/>
      <c r="T12" s="28"/>
      <c r="U12" s="11"/>
      <c r="V12" s="11"/>
      <c r="X12" s="28"/>
      <c r="Y12" s="11"/>
      <c r="Z12" s="11"/>
    </row>
    <row r="13" spans="1:26" x14ac:dyDescent="0.2">
      <c r="A13" s="5">
        <v>9</v>
      </c>
      <c r="B13" s="19">
        <v>1415</v>
      </c>
      <c r="C13" s="19">
        <v>0</v>
      </c>
      <c r="D13" s="11"/>
      <c r="E13" s="5">
        <v>9</v>
      </c>
      <c r="F13" s="19">
        <v>22505</v>
      </c>
      <c r="G13" s="19">
        <v>15073</v>
      </c>
      <c r="H13" s="11"/>
      <c r="I13" s="5">
        <v>9</v>
      </c>
      <c r="J13" s="19">
        <v>3300</v>
      </c>
      <c r="K13" s="19">
        <v>0</v>
      </c>
      <c r="L13" s="11"/>
      <c r="M13" s="19" t="s">
        <v>87</v>
      </c>
      <c r="N13" s="19">
        <v>11350</v>
      </c>
      <c r="O13" s="11">
        <v>4000</v>
      </c>
      <c r="P13" s="21"/>
      <c r="Q13" s="19"/>
      <c r="R13" s="19"/>
      <c r="T13" s="28"/>
      <c r="U13" s="11"/>
      <c r="V13" s="11"/>
      <c r="X13" s="28"/>
      <c r="Y13" s="11"/>
      <c r="Z13" s="11"/>
    </row>
    <row r="14" spans="1:26" x14ac:dyDescent="0.2">
      <c r="A14" s="5">
        <v>10</v>
      </c>
      <c r="B14" s="19">
        <v>4826</v>
      </c>
      <c r="C14" s="19">
        <v>3972</v>
      </c>
      <c r="D14" s="11"/>
      <c r="E14" s="5">
        <v>10</v>
      </c>
      <c r="F14" s="19">
        <v>26360</v>
      </c>
      <c r="G14" s="19">
        <f>11422+3200+1000</f>
        <v>15622</v>
      </c>
      <c r="H14" s="11"/>
      <c r="I14" s="5">
        <v>10</v>
      </c>
      <c r="J14" s="19">
        <v>2000</v>
      </c>
      <c r="K14" s="19">
        <v>0</v>
      </c>
      <c r="L14" s="1"/>
      <c r="M14" s="19" t="s">
        <v>77</v>
      </c>
      <c r="N14" s="19">
        <v>0</v>
      </c>
      <c r="O14" s="11"/>
      <c r="P14" s="21"/>
      <c r="Q14" s="19"/>
      <c r="R14" s="19"/>
      <c r="T14" s="28"/>
      <c r="U14" s="11"/>
      <c r="V14" s="11"/>
      <c r="X14" s="28"/>
      <c r="Y14" s="11"/>
      <c r="Z14" s="11"/>
    </row>
    <row r="15" spans="1:26" x14ac:dyDescent="0.2">
      <c r="A15" s="5">
        <v>11</v>
      </c>
      <c r="B15" s="19">
        <v>0</v>
      </c>
      <c r="C15" s="19">
        <v>0</v>
      </c>
      <c r="D15" s="11"/>
      <c r="E15" s="5">
        <v>11</v>
      </c>
      <c r="F15" s="19">
        <v>12204</v>
      </c>
      <c r="G15" s="19">
        <v>11019</v>
      </c>
      <c r="H15" s="11"/>
      <c r="I15" s="5">
        <v>11</v>
      </c>
      <c r="J15" s="19">
        <v>15700</v>
      </c>
      <c r="K15" s="19">
        <v>0</v>
      </c>
      <c r="L15" s="1"/>
      <c r="M15" s="12" t="s">
        <v>79</v>
      </c>
      <c r="N15" s="13">
        <f>SUM(N4:N14)</f>
        <v>118350</v>
      </c>
      <c r="O15" s="1"/>
      <c r="P15" s="21"/>
      <c r="Q15" s="19"/>
      <c r="R15" s="19"/>
      <c r="T15" s="28"/>
      <c r="U15" s="11"/>
      <c r="V15" s="11"/>
      <c r="X15" s="28"/>
      <c r="Y15" s="11"/>
      <c r="Z15" s="11"/>
    </row>
    <row r="16" spans="1:26" x14ac:dyDescent="0.2">
      <c r="A16" s="5">
        <v>12</v>
      </c>
      <c r="B16" s="19">
        <v>2204</v>
      </c>
      <c r="C16" s="19">
        <v>1598</v>
      </c>
      <c r="D16" s="11"/>
      <c r="E16" s="5">
        <v>12</v>
      </c>
      <c r="F16" s="19">
        <v>12999</v>
      </c>
      <c r="G16" s="19">
        <v>8103</v>
      </c>
      <c r="H16" s="11"/>
      <c r="I16" s="5">
        <v>12</v>
      </c>
      <c r="J16" s="19">
        <v>800</v>
      </c>
      <c r="K16" s="19">
        <v>0</v>
      </c>
      <c r="L16" s="1"/>
      <c r="M16" s="25"/>
      <c r="N16" s="6"/>
      <c r="O16" s="1"/>
      <c r="P16" s="1"/>
      <c r="Q16" s="1"/>
      <c r="R16" s="1">
        <f>SUM(R10:R15)</f>
        <v>0</v>
      </c>
    </row>
    <row r="17" spans="1:26" x14ac:dyDescent="0.2">
      <c r="A17" s="5">
        <v>13</v>
      </c>
      <c r="B17" s="19">
        <v>1235</v>
      </c>
      <c r="C17" s="19">
        <v>0</v>
      </c>
      <c r="D17" s="11" t="s">
        <v>21</v>
      </c>
      <c r="E17" s="5">
        <v>13</v>
      </c>
      <c r="F17" s="19">
        <v>23257</v>
      </c>
      <c r="G17" s="19">
        <v>3456</v>
      </c>
      <c r="H17" s="11"/>
      <c r="I17" s="5">
        <v>13</v>
      </c>
      <c r="J17" s="19">
        <v>6300</v>
      </c>
      <c r="K17" s="19">
        <v>0</v>
      </c>
      <c r="L17" s="1"/>
      <c r="M17" s="78" t="s">
        <v>37</v>
      </c>
      <c r="N17" s="79"/>
      <c r="O17" s="1"/>
      <c r="P17" s="80" t="s">
        <v>38</v>
      </c>
      <c r="Q17" s="79"/>
      <c r="R17" s="1"/>
      <c r="Z17" s="42">
        <f>R16+V16+Z16+T67</f>
        <v>0</v>
      </c>
    </row>
    <row r="18" spans="1:26" x14ac:dyDescent="0.2">
      <c r="A18" s="5">
        <v>14</v>
      </c>
      <c r="B18" s="19">
        <v>554</v>
      </c>
      <c r="C18" s="19">
        <v>50</v>
      </c>
      <c r="D18" s="11"/>
      <c r="E18" s="5">
        <v>14</v>
      </c>
      <c r="F18" s="19">
        <v>18403</v>
      </c>
      <c r="G18" s="19">
        <v>9286</v>
      </c>
      <c r="H18" s="11"/>
      <c r="I18" s="5">
        <v>14</v>
      </c>
      <c r="J18" s="19">
        <v>10300</v>
      </c>
      <c r="K18" s="19">
        <v>0</v>
      </c>
      <c r="L18" s="1"/>
      <c r="M18" s="2" t="s">
        <v>39</v>
      </c>
      <c r="N18" s="3" t="s">
        <v>6</v>
      </c>
      <c r="O18" s="1"/>
      <c r="P18" s="2" t="s">
        <v>5</v>
      </c>
      <c r="Q18" s="3" t="s">
        <v>6</v>
      </c>
      <c r="R18" s="1"/>
      <c r="S18" s="89" t="s">
        <v>105</v>
      </c>
      <c r="T18" s="84"/>
      <c r="U18" s="84"/>
      <c r="V18" s="79"/>
    </row>
    <row r="19" spans="1:26" x14ac:dyDescent="0.2">
      <c r="A19" s="5">
        <v>15</v>
      </c>
      <c r="B19" s="19">
        <v>3240</v>
      </c>
      <c r="C19" s="19">
        <v>1220</v>
      </c>
      <c r="D19" s="11"/>
      <c r="E19" s="5">
        <v>15</v>
      </c>
      <c r="F19" s="19">
        <v>25248</v>
      </c>
      <c r="G19" s="19">
        <v>8199</v>
      </c>
      <c r="H19" s="11"/>
      <c r="I19" s="5">
        <v>15</v>
      </c>
      <c r="J19" s="19">
        <v>0</v>
      </c>
      <c r="K19" s="19">
        <v>0</v>
      </c>
      <c r="L19" s="1"/>
      <c r="M19" s="4" t="s">
        <v>41</v>
      </c>
      <c r="N19" s="20">
        <v>0</v>
      </c>
      <c r="O19" s="1"/>
      <c r="P19" s="4" t="s">
        <v>42</v>
      </c>
      <c r="Q19" s="5">
        <f>B35+F35+J35</f>
        <v>873094</v>
      </c>
      <c r="R19" s="1"/>
      <c r="S19" s="16" t="s">
        <v>106</v>
      </c>
      <c r="T19" s="16" t="s">
        <v>68</v>
      </c>
      <c r="U19" s="16" t="s">
        <v>107</v>
      </c>
      <c r="V19" s="16" t="s">
        <v>108</v>
      </c>
      <c r="X19" s="16" t="s">
        <v>109</v>
      </c>
    </row>
    <row r="20" spans="1:26" x14ac:dyDescent="0.2">
      <c r="A20" s="5">
        <v>16</v>
      </c>
      <c r="B20" s="19">
        <v>720</v>
      </c>
      <c r="C20" s="19">
        <v>697</v>
      </c>
      <c r="D20" s="11"/>
      <c r="E20" s="5">
        <v>16</v>
      </c>
      <c r="F20" s="19">
        <v>19440</v>
      </c>
      <c r="G20" s="19">
        <v>16373</v>
      </c>
      <c r="H20" s="11"/>
      <c r="I20" s="5">
        <v>16</v>
      </c>
      <c r="J20" s="19">
        <v>2900</v>
      </c>
      <c r="K20" s="19">
        <v>0</v>
      </c>
      <c r="L20" s="11"/>
      <c r="M20" s="4" t="s">
        <v>43</v>
      </c>
      <c r="N20" s="19">
        <v>52468</v>
      </c>
      <c r="O20" s="1"/>
      <c r="P20" s="4" t="s">
        <v>44</v>
      </c>
      <c r="Q20" s="5">
        <f>C35+G35+K35+N15+N30+N55</f>
        <v>662199</v>
      </c>
      <c r="R20" s="1"/>
      <c r="S20" s="16">
        <v>1</v>
      </c>
      <c r="T20" s="16"/>
      <c r="U20" s="50"/>
      <c r="V20" s="50"/>
      <c r="X20" s="16"/>
    </row>
    <row r="21" spans="1:26" x14ac:dyDescent="0.2">
      <c r="A21" s="5">
        <v>17</v>
      </c>
      <c r="B21" s="19">
        <v>880</v>
      </c>
      <c r="C21" s="19">
        <v>59</v>
      </c>
      <c r="D21" s="11"/>
      <c r="E21" s="5">
        <v>17</v>
      </c>
      <c r="F21" s="19">
        <v>21762</v>
      </c>
      <c r="G21" s="19">
        <v>14672</v>
      </c>
      <c r="H21" s="11"/>
      <c r="I21" s="5">
        <v>17</v>
      </c>
      <c r="J21" s="19">
        <v>6500</v>
      </c>
      <c r="K21" s="19">
        <v>0</v>
      </c>
      <c r="L21" s="1"/>
      <c r="M21" s="4" t="s">
        <v>46</v>
      </c>
      <c r="N21" s="5">
        <v>2500</v>
      </c>
      <c r="O21" s="1"/>
      <c r="P21" s="26" t="s">
        <v>47</v>
      </c>
      <c r="Q21" s="27">
        <f>Q19-Q20</f>
        <v>210895</v>
      </c>
      <c r="R21" s="1"/>
      <c r="S21" s="16">
        <v>2</v>
      </c>
      <c r="T21" s="16"/>
      <c r="U21" s="16"/>
      <c r="V21" s="50"/>
      <c r="X21" s="16"/>
    </row>
    <row r="22" spans="1:26" x14ac:dyDescent="0.2">
      <c r="A22" s="5">
        <v>18</v>
      </c>
      <c r="B22" s="19">
        <v>0</v>
      </c>
      <c r="C22" s="19">
        <v>0</v>
      </c>
      <c r="D22" s="11" t="s">
        <v>21</v>
      </c>
      <c r="E22" s="5">
        <v>18</v>
      </c>
      <c r="F22" s="19">
        <v>14035</v>
      </c>
      <c r="G22" s="19">
        <v>8699</v>
      </c>
      <c r="H22" s="11"/>
      <c r="I22" s="5">
        <v>18</v>
      </c>
      <c r="J22" s="19">
        <v>3200</v>
      </c>
      <c r="K22" s="19">
        <v>0</v>
      </c>
      <c r="L22" s="1"/>
      <c r="M22" s="4"/>
      <c r="N22" s="19"/>
      <c r="O22" s="1"/>
      <c r="P22" s="4" t="s">
        <v>49</v>
      </c>
      <c r="Q22" s="20">
        <v>35000</v>
      </c>
      <c r="R22" s="1"/>
      <c r="S22" s="16">
        <v>3</v>
      </c>
      <c r="T22" s="50"/>
      <c r="U22" s="16"/>
      <c r="V22" s="50"/>
      <c r="X22" s="16">
        <v>50</v>
      </c>
    </row>
    <row r="23" spans="1:26" x14ac:dyDescent="0.2">
      <c r="A23" s="5">
        <v>19</v>
      </c>
      <c r="B23" s="19">
        <v>5160</v>
      </c>
      <c r="C23" s="19">
        <v>4932</v>
      </c>
      <c r="D23" s="11"/>
      <c r="E23" s="5">
        <v>19</v>
      </c>
      <c r="F23" s="19">
        <v>17115</v>
      </c>
      <c r="G23" s="19">
        <v>8690</v>
      </c>
      <c r="H23" s="11"/>
      <c r="I23" s="5">
        <v>19</v>
      </c>
      <c r="J23" s="19">
        <v>11700</v>
      </c>
      <c r="K23" s="19">
        <v>0</v>
      </c>
      <c r="L23" s="1"/>
      <c r="M23" s="4" t="s">
        <v>50</v>
      </c>
      <c r="N23" s="5">
        <v>1690</v>
      </c>
      <c r="O23" s="1"/>
      <c r="P23" s="11" t="s">
        <v>133</v>
      </c>
      <c r="Q23" s="1">
        <f>C35+G35+K35</f>
        <v>416891</v>
      </c>
      <c r="R23" s="1"/>
      <c r="S23" s="16">
        <v>4</v>
      </c>
      <c r="T23" s="16"/>
      <c r="U23" s="16"/>
      <c r="V23" s="50"/>
      <c r="X23" s="16"/>
    </row>
    <row r="24" spans="1:26" x14ac:dyDescent="0.2">
      <c r="A24" s="5">
        <v>20</v>
      </c>
      <c r="B24" s="19">
        <v>2400</v>
      </c>
      <c r="C24" s="19">
        <v>2387</v>
      </c>
      <c r="D24" s="11"/>
      <c r="E24" s="5">
        <v>20</v>
      </c>
      <c r="F24" s="19">
        <v>19316</v>
      </c>
      <c r="G24" s="19">
        <v>11847</v>
      </c>
      <c r="H24" s="11"/>
      <c r="I24" s="5">
        <v>20</v>
      </c>
      <c r="J24" s="19">
        <v>11470</v>
      </c>
      <c r="K24" s="19">
        <v>0</v>
      </c>
      <c r="L24" s="1"/>
      <c r="M24" s="4" t="s">
        <v>51</v>
      </c>
      <c r="N24" s="20">
        <v>5000</v>
      </c>
      <c r="O24" s="1"/>
      <c r="P24" s="1"/>
      <c r="Q24" s="1"/>
      <c r="R24" s="1"/>
      <c r="S24" s="16">
        <v>5</v>
      </c>
      <c r="T24" s="16"/>
      <c r="U24" s="16"/>
      <c r="V24" s="50"/>
      <c r="X24" s="16"/>
    </row>
    <row r="25" spans="1:26" x14ac:dyDescent="0.2">
      <c r="A25" s="5">
        <v>21</v>
      </c>
      <c r="B25" s="19">
        <v>6200</v>
      </c>
      <c r="C25" s="19">
        <v>4417</v>
      </c>
      <c r="D25" s="11"/>
      <c r="E25" s="5">
        <v>21</v>
      </c>
      <c r="F25" s="19">
        <v>14230</v>
      </c>
      <c r="G25" s="19">
        <v>11357</v>
      </c>
      <c r="H25" s="11"/>
      <c r="I25" s="5">
        <v>21</v>
      </c>
      <c r="J25" s="19">
        <v>15000</v>
      </c>
      <c r="K25" s="19">
        <v>0</v>
      </c>
      <c r="L25" s="11"/>
      <c r="M25" s="19" t="s">
        <v>89</v>
      </c>
      <c r="N25" s="4"/>
      <c r="O25" s="1"/>
      <c r="P25" s="1"/>
      <c r="Q25" s="1"/>
      <c r="R25" s="1"/>
      <c r="S25" s="16">
        <v>6</v>
      </c>
      <c r="T25" s="16"/>
      <c r="U25" s="16"/>
      <c r="V25" s="50"/>
      <c r="X25" s="16">
        <v>62</v>
      </c>
    </row>
    <row r="26" spans="1:26" x14ac:dyDescent="0.2">
      <c r="A26" s="5">
        <v>22</v>
      </c>
      <c r="B26" s="19">
        <v>3050</v>
      </c>
      <c r="C26" s="19">
        <v>1400</v>
      </c>
      <c r="D26" s="11"/>
      <c r="E26" s="5">
        <v>22</v>
      </c>
      <c r="F26" s="19">
        <v>16960</v>
      </c>
      <c r="G26" s="19">
        <v>15643</v>
      </c>
      <c r="H26" s="11"/>
      <c r="I26" s="5">
        <v>22</v>
      </c>
      <c r="J26" s="19">
        <v>5500</v>
      </c>
      <c r="K26" s="19">
        <v>0</v>
      </c>
      <c r="L26" s="1"/>
      <c r="M26" s="19"/>
      <c r="N26" s="19"/>
      <c r="O26" s="1"/>
      <c r="P26" s="1"/>
      <c r="Q26" s="1"/>
      <c r="R26" s="1"/>
      <c r="S26" s="16">
        <v>7</v>
      </c>
      <c r="T26" s="50"/>
      <c r="U26" s="16"/>
      <c r="V26" s="50"/>
      <c r="X26" s="16"/>
    </row>
    <row r="27" spans="1:26" x14ac:dyDescent="0.2">
      <c r="A27" s="5">
        <v>23</v>
      </c>
      <c r="B27" s="19">
        <v>1690</v>
      </c>
      <c r="C27" s="19">
        <v>1318</v>
      </c>
      <c r="D27" s="11"/>
      <c r="E27" s="5">
        <v>23</v>
      </c>
      <c r="F27" s="19">
        <v>18693</v>
      </c>
      <c r="G27" s="19">
        <v>13175</v>
      </c>
      <c r="H27" s="11"/>
      <c r="I27" s="5">
        <v>23</v>
      </c>
      <c r="J27" s="19">
        <v>2100</v>
      </c>
      <c r="K27" s="19">
        <v>0</v>
      </c>
      <c r="L27" s="1"/>
      <c r="M27" s="19"/>
      <c r="N27" s="19"/>
      <c r="O27" s="1"/>
      <c r="P27" s="1">
        <f>(N15+N55)-Z17</f>
        <v>183650</v>
      </c>
      <c r="Q27" s="1"/>
      <c r="R27" s="1"/>
      <c r="S27" s="16">
        <v>8</v>
      </c>
      <c r="T27" s="50"/>
      <c r="U27" s="16"/>
      <c r="V27" s="50"/>
      <c r="X27" s="16">
        <v>190</v>
      </c>
    </row>
    <row r="28" spans="1:26" x14ac:dyDescent="0.2">
      <c r="A28" s="5">
        <v>24</v>
      </c>
      <c r="B28" s="19">
        <v>1924</v>
      </c>
      <c r="C28" s="19">
        <v>1332</v>
      </c>
      <c r="D28" s="11"/>
      <c r="E28" s="5">
        <v>24</v>
      </c>
      <c r="F28" s="19">
        <v>24485</v>
      </c>
      <c r="G28" s="19">
        <v>10211</v>
      </c>
      <c r="H28" s="11"/>
      <c r="I28" s="5">
        <v>24</v>
      </c>
      <c r="J28" s="19">
        <v>5100</v>
      </c>
      <c r="K28" s="19">
        <v>0</v>
      </c>
      <c r="L28" s="1"/>
      <c r="M28" s="4"/>
      <c r="N28" s="4"/>
      <c r="O28" s="1"/>
      <c r="P28" s="11"/>
      <c r="Q28" s="11"/>
      <c r="R28" s="1"/>
      <c r="S28" s="16">
        <v>9</v>
      </c>
      <c r="T28" s="16">
        <v>7</v>
      </c>
      <c r="U28" s="16">
        <f>10725+1415</f>
        <v>12140</v>
      </c>
      <c r="V28" s="50"/>
      <c r="X28" s="16"/>
    </row>
    <row r="29" spans="1:26" x14ac:dyDescent="0.2">
      <c r="A29" s="5">
        <v>25</v>
      </c>
      <c r="B29" s="19">
        <v>0</v>
      </c>
      <c r="C29" s="19">
        <v>0</v>
      </c>
      <c r="D29" s="11" t="s">
        <v>21</v>
      </c>
      <c r="E29" s="5">
        <v>25</v>
      </c>
      <c r="F29" s="19">
        <v>11310</v>
      </c>
      <c r="G29" s="19">
        <v>9715</v>
      </c>
      <c r="H29" s="11"/>
      <c r="I29" s="5">
        <v>25</v>
      </c>
      <c r="J29" s="19">
        <v>8900</v>
      </c>
      <c r="K29" s="19">
        <v>0</v>
      </c>
      <c r="L29" s="1"/>
      <c r="M29" s="4"/>
      <c r="N29" s="4"/>
      <c r="O29" s="1"/>
      <c r="P29" s="11"/>
      <c r="Q29" s="1"/>
      <c r="R29" s="1"/>
      <c r="S29" s="16">
        <v>10</v>
      </c>
      <c r="T29" s="50">
        <f>94+163</f>
        <v>257</v>
      </c>
      <c r="U29" s="50">
        <f>760+12335</f>
        <v>13095</v>
      </c>
      <c r="V29" s="50"/>
      <c r="X29" s="16">
        <v>240</v>
      </c>
    </row>
    <row r="30" spans="1:26" x14ac:dyDescent="0.2">
      <c r="A30" s="5">
        <v>26</v>
      </c>
      <c r="B30" s="19">
        <v>3220</v>
      </c>
      <c r="C30" s="19">
        <v>926</v>
      </c>
      <c r="D30" s="11"/>
      <c r="E30" s="5">
        <v>26</v>
      </c>
      <c r="F30" s="19">
        <v>13720</v>
      </c>
      <c r="G30" s="19">
        <v>13416</v>
      </c>
      <c r="H30" s="11"/>
      <c r="I30" s="5">
        <v>26</v>
      </c>
      <c r="J30" s="19">
        <v>20000</v>
      </c>
      <c r="K30" s="19">
        <v>0</v>
      </c>
      <c r="L30" s="1"/>
      <c r="M30" s="12" t="s">
        <v>36</v>
      </c>
      <c r="N30" s="13">
        <f>SUM(N19:N29)</f>
        <v>61658</v>
      </c>
      <c r="O30" s="1"/>
      <c r="P30" s="1"/>
      <c r="Q30" s="11"/>
      <c r="R30" s="1"/>
      <c r="S30" s="16">
        <v>11</v>
      </c>
      <c r="T30" s="16">
        <v>13396</v>
      </c>
      <c r="U30" s="16">
        <v>3459</v>
      </c>
      <c r="V30" s="50"/>
      <c r="X30" s="16">
        <v>30</v>
      </c>
    </row>
    <row r="31" spans="1:26" x14ac:dyDescent="0.2">
      <c r="A31" s="5">
        <v>27</v>
      </c>
      <c r="B31" s="19">
        <v>950</v>
      </c>
      <c r="C31" s="19">
        <v>950</v>
      </c>
      <c r="D31" s="11"/>
      <c r="E31" s="5">
        <v>27</v>
      </c>
      <c r="F31" s="19">
        <v>15034</v>
      </c>
      <c r="G31" s="19">
        <v>10842</v>
      </c>
      <c r="H31" s="11"/>
      <c r="I31" s="5">
        <v>27</v>
      </c>
      <c r="J31" s="19">
        <v>3100</v>
      </c>
      <c r="K31" s="19">
        <v>0</v>
      </c>
      <c r="L31" s="1"/>
      <c r="M31" s="1"/>
      <c r="N31" s="1"/>
      <c r="O31" s="1"/>
      <c r="P31" s="1"/>
      <c r="Q31" s="1"/>
      <c r="R31" s="1"/>
      <c r="S31" s="16">
        <v>12</v>
      </c>
      <c r="T31" s="50">
        <f>1416+96</f>
        <v>1512</v>
      </c>
      <c r="U31" s="50">
        <f>4240+510</f>
        <v>4750</v>
      </c>
      <c r="V31" s="50"/>
      <c r="X31" s="16">
        <v>40</v>
      </c>
    </row>
    <row r="32" spans="1:26" x14ac:dyDescent="0.2">
      <c r="A32" s="5">
        <v>28</v>
      </c>
      <c r="B32" s="19">
        <v>4760</v>
      </c>
      <c r="C32" s="19">
        <v>3000</v>
      </c>
      <c r="D32" s="11"/>
      <c r="E32" s="5">
        <v>28</v>
      </c>
      <c r="F32" s="19">
        <v>22810</v>
      </c>
      <c r="G32" s="19">
        <v>18280</v>
      </c>
      <c r="H32" s="1"/>
      <c r="I32" s="5">
        <v>28</v>
      </c>
      <c r="J32" s="19">
        <v>8400</v>
      </c>
      <c r="K32" s="19">
        <v>0</v>
      </c>
      <c r="L32" s="1"/>
      <c r="M32" s="81" t="s">
        <v>53</v>
      </c>
      <c r="N32" s="79"/>
      <c r="O32" s="1"/>
      <c r="P32" s="1"/>
      <c r="Q32" s="1"/>
      <c r="R32" s="1"/>
      <c r="S32" s="16">
        <v>13</v>
      </c>
      <c r="T32" s="16"/>
      <c r="U32" s="16"/>
      <c r="V32" s="50"/>
      <c r="X32" s="16"/>
    </row>
    <row r="33" spans="1:24" x14ac:dyDescent="0.2">
      <c r="A33" s="5">
        <v>29</v>
      </c>
      <c r="B33" s="19">
        <v>5012</v>
      </c>
      <c r="C33" s="19">
        <v>2722</v>
      </c>
      <c r="D33" s="1"/>
      <c r="E33" s="5">
        <v>29</v>
      </c>
      <c r="F33" s="19">
        <v>19198</v>
      </c>
      <c r="G33" s="19">
        <v>10692</v>
      </c>
      <c r="H33" s="1"/>
      <c r="I33" s="5">
        <v>29</v>
      </c>
      <c r="J33" s="19">
        <v>7100</v>
      </c>
      <c r="K33" s="19">
        <v>0</v>
      </c>
      <c r="L33" s="1"/>
      <c r="M33" s="2" t="s">
        <v>39</v>
      </c>
      <c r="N33" s="3" t="s">
        <v>6</v>
      </c>
      <c r="O33" s="1"/>
      <c r="P33" s="1"/>
      <c r="Q33" s="1"/>
      <c r="R33" s="1"/>
      <c r="S33" s="16">
        <v>14</v>
      </c>
      <c r="T33" s="16"/>
      <c r="U33" s="16"/>
      <c r="V33" s="50"/>
      <c r="X33" s="16"/>
    </row>
    <row r="34" spans="1:24" x14ac:dyDescent="0.2">
      <c r="A34" s="5">
        <v>30</v>
      </c>
      <c r="B34" s="19">
        <v>2190</v>
      </c>
      <c r="C34" s="19">
        <v>970</v>
      </c>
      <c r="D34" s="11"/>
      <c r="E34" s="5">
        <v>30</v>
      </c>
      <c r="F34" s="19">
        <v>17827</v>
      </c>
      <c r="G34" s="19">
        <v>13597</v>
      </c>
      <c r="H34" s="1"/>
      <c r="I34" s="5">
        <v>30</v>
      </c>
      <c r="J34" s="19">
        <v>7700</v>
      </c>
      <c r="K34" s="19">
        <v>0</v>
      </c>
      <c r="L34" s="1"/>
      <c r="M34" s="19" t="s">
        <v>96</v>
      </c>
      <c r="N34" s="19">
        <v>17000</v>
      </c>
      <c r="O34" s="11">
        <v>6000</v>
      </c>
      <c r="P34" s="1"/>
      <c r="Q34" s="1"/>
      <c r="R34" s="1"/>
      <c r="S34" s="16">
        <v>15</v>
      </c>
      <c r="T34" s="50"/>
      <c r="U34" s="50"/>
      <c r="V34" s="50"/>
      <c r="X34" s="16"/>
    </row>
    <row r="35" spans="1:24" x14ac:dyDescent="0.2">
      <c r="A35" s="12" t="s">
        <v>36</v>
      </c>
      <c r="B35" s="13">
        <f t="shared" ref="B35:C35" si="0">SUM(B5:B34)+B37</f>
        <v>81296</v>
      </c>
      <c r="C35" s="13">
        <f t="shared" si="0"/>
        <v>55452</v>
      </c>
      <c r="D35" s="1"/>
      <c r="E35" s="12" t="s">
        <v>36</v>
      </c>
      <c r="F35" s="13">
        <f t="shared" ref="F35:G35" si="1">SUM(F5:F34)+F37</f>
        <v>588528</v>
      </c>
      <c r="G35" s="13">
        <f t="shared" si="1"/>
        <v>361439</v>
      </c>
      <c r="H35" s="1"/>
      <c r="I35" s="12" t="s">
        <v>36</v>
      </c>
      <c r="J35" s="13">
        <f t="shared" ref="J35:K35" si="2">SUM(J5:J34)+J37</f>
        <v>203270</v>
      </c>
      <c r="K35" s="13">
        <f t="shared" si="2"/>
        <v>0</v>
      </c>
      <c r="L35" s="1"/>
      <c r="M35" s="19" t="s">
        <v>102</v>
      </c>
      <c r="N35" s="19">
        <v>15000</v>
      </c>
      <c r="O35" s="11">
        <v>5000</v>
      </c>
      <c r="P35" s="1"/>
      <c r="Q35" s="1"/>
      <c r="R35" s="1"/>
      <c r="S35" s="16">
        <v>16</v>
      </c>
      <c r="T35" s="16"/>
      <c r="U35" s="16"/>
      <c r="V35" s="50"/>
      <c r="X35" s="50"/>
    </row>
    <row r="36" spans="1:24" x14ac:dyDescent="0.2">
      <c r="A36" s="3" t="s">
        <v>56</v>
      </c>
      <c r="B36" s="82">
        <f>B35-C35</f>
        <v>25844</v>
      </c>
      <c r="C36" s="79"/>
      <c r="D36" s="1"/>
      <c r="E36" s="3" t="s">
        <v>56</v>
      </c>
      <c r="F36" s="82">
        <f>F35-G35</f>
        <v>227089</v>
      </c>
      <c r="G36" s="79"/>
      <c r="H36" s="1"/>
      <c r="I36" s="3" t="s">
        <v>56</v>
      </c>
      <c r="J36" s="82">
        <f>J35-K35</f>
        <v>203270</v>
      </c>
      <c r="K36" s="79"/>
      <c r="L36" s="1"/>
      <c r="M36" s="19" t="s">
        <v>112</v>
      </c>
      <c r="N36" s="19">
        <v>10300</v>
      </c>
      <c r="O36" s="11">
        <v>3000</v>
      </c>
      <c r="P36" s="1"/>
      <c r="Q36" s="1"/>
      <c r="R36" s="1"/>
      <c r="S36" s="16">
        <v>17</v>
      </c>
      <c r="T36" s="16"/>
      <c r="U36" s="50"/>
      <c r="V36" s="50"/>
      <c r="X36" s="16"/>
    </row>
    <row r="37" spans="1:24" x14ac:dyDescent="0.2">
      <c r="A37" s="5">
        <v>31</v>
      </c>
      <c r="B37" s="19">
        <v>2450</v>
      </c>
      <c r="C37" s="19">
        <v>2434</v>
      </c>
      <c r="D37" s="11"/>
      <c r="E37" s="5">
        <v>31</v>
      </c>
      <c r="F37" s="19">
        <v>25142</v>
      </c>
      <c r="G37" s="19">
        <v>16268</v>
      </c>
      <c r="H37" s="1"/>
      <c r="I37" s="5">
        <v>31</v>
      </c>
      <c r="J37" s="19">
        <v>5800</v>
      </c>
      <c r="K37" s="19">
        <v>0</v>
      </c>
      <c r="L37" s="1"/>
      <c r="M37" s="19" t="s">
        <v>125</v>
      </c>
      <c r="N37" s="19">
        <v>12000</v>
      </c>
      <c r="O37" s="11">
        <v>4000</v>
      </c>
      <c r="P37" s="1"/>
      <c r="Q37" s="1"/>
      <c r="R37" s="11"/>
      <c r="S37" s="16">
        <v>18</v>
      </c>
      <c r="T37" s="16"/>
      <c r="U37" s="16"/>
      <c r="V37" s="50"/>
      <c r="X37" s="16"/>
    </row>
    <row r="38" spans="1:2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4" t="s">
        <v>134</v>
      </c>
      <c r="N38" s="54">
        <v>11000</v>
      </c>
      <c r="O38" s="11">
        <v>3000</v>
      </c>
      <c r="P38" s="1">
        <f>C47-C48-Z17-N26-N27</f>
        <v>456203</v>
      </c>
      <c r="Q38" s="1"/>
      <c r="R38" s="1"/>
      <c r="S38" s="16">
        <v>19</v>
      </c>
      <c r="T38" s="16"/>
      <c r="U38" s="16"/>
      <c r="V38" s="50"/>
      <c r="X38" s="16"/>
    </row>
    <row r="39" spans="1:2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9"/>
      <c r="N39" s="19"/>
      <c r="O39" s="1">
        <f>SUM(O4:O38)</f>
        <v>60000</v>
      </c>
      <c r="P39" s="1"/>
      <c r="Q39" s="1"/>
      <c r="R39" s="1"/>
      <c r="S39" s="16">
        <v>20</v>
      </c>
      <c r="T39" s="50"/>
      <c r="U39" s="16"/>
      <c r="V39" s="50"/>
      <c r="X39" s="16"/>
    </row>
    <row r="40" spans="1:2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"/>
      <c r="N40" s="4"/>
      <c r="O40" s="1"/>
      <c r="P40" s="1"/>
      <c r="Q40" s="1"/>
      <c r="R40" s="1"/>
      <c r="S40" s="16">
        <v>21</v>
      </c>
      <c r="T40" s="50"/>
      <c r="U40" s="50"/>
      <c r="V40" s="50"/>
      <c r="X40" s="16"/>
    </row>
    <row r="41" spans="1:24" x14ac:dyDescent="0.2">
      <c r="A41" s="1"/>
      <c r="B41" s="1"/>
      <c r="C41" s="1"/>
      <c r="D41" s="1"/>
      <c r="E41" s="1"/>
      <c r="F41" s="1"/>
      <c r="G41" s="83" t="s">
        <v>130</v>
      </c>
      <c r="H41" s="79"/>
      <c r="I41" s="1"/>
      <c r="J41" s="1"/>
      <c r="K41" s="1"/>
      <c r="L41" s="1"/>
      <c r="M41" s="4"/>
      <c r="N41" s="4"/>
      <c r="O41" s="1"/>
      <c r="P41" s="1"/>
      <c r="Q41" s="1"/>
      <c r="R41" s="1"/>
      <c r="S41" s="16">
        <v>22</v>
      </c>
      <c r="T41" s="50"/>
      <c r="U41" s="50"/>
      <c r="V41" s="50"/>
      <c r="X41" s="16"/>
    </row>
    <row r="42" spans="1:24" x14ac:dyDescent="0.2">
      <c r="A42" s="1"/>
      <c r="B42" s="1"/>
      <c r="C42" s="1"/>
      <c r="D42" s="1"/>
      <c r="E42" s="1"/>
      <c r="F42" s="1"/>
      <c r="G42" s="19" t="s">
        <v>106</v>
      </c>
      <c r="H42" s="19" t="s">
        <v>131</v>
      </c>
      <c r="I42" s="1"/>
      <c r="J42" s="1"/>
      <c r="K42" s="1"/>
      <c r="L42" s="1"/>
      <c r="M42" s="4"/>
      <c r="N42" s="4"/>
      <c r="O42" s="1"/>
      <c r="P42" s="1"/>
      <c r="Q42" s="1"/>
      <c r="R42" s="1"/>
      <c r="S42" s="16">
        <v>23</v>
      </c>
      <c r="T42" s="50"/>
      <c r="U42" s="16"/>
      <c r="V42" s="50"/>
      <c r="X42" s="16"/>
    </row>
    <row r="43" spans="1:24" x14ac:dyDescent="0.2">
      <c r="A43" s="1"/>
      <c r="B43" s="1"/>
      <c r="C43" s="1"/>
      <c r="D43" s="1"/>
      <c r="E43" s="1"/>
      <c r="F43" s="1"/>
      <c r="G43" s="62">
        <v>44744</v>
      </c>
      <c r="H43" s="19">
        <v>1000</v>
      </c>
      <c r="I43" s="1"/>
      <c r="J43" s="1"/>
      <c r="K43" s="1"/>
      <c r="L43" s="1"/>
      <c r="M43" s="4"/>
      <c r="N43" s="4"/>
      <c r="O43" s="1"/>
      <c r="P43" s="1"/>
      <c r="Q43" s="1"/>
      <c r="R43" s="1"/>
      <c r="S43" s="16">
        <v>24</v>
      </c>
      <c r="T43" s="50"/>
      <c r="U43" s="50"/>
      <c r="V43" s="50"/>
      <c r="X43" s="16"/>
    </row>
    <row r="44" spans="1:24" x14ac:dyDescent="0.2">
      <c r="A44" s="1"/>
      <c r="B44" s="1"/>
      <c r="C44" s="1"/>
      <c r="D44" s="1"/>
      <c r="E44" s="1"/>
      <c r="F44" s="1"/>
      <c r="G44" s="62">
        <v>44747</v>
      </c>
      <c r="H44" s="19">
        <v>1500</v>
      </c>
      <c r="I44" s="1"/>
      <c r="J44" s="1"/>
      <c r="K44" s="1"/>
      <c r="L44" s="1"/>
      <c r="M44" s="4"/>
      <c r="N44" s="4"/>
      <c r="O44" s="1"/>
      <c r="P44" s="1"/>
      <c r="Q44" s="1"/>
      <c r="R44" s="1"/>
      <c r="S44" s="16">
        <v>25</v>
      </c>
      <c r="T44" s="16"/>
      <c r="U44" s="16"/>
      <c r="V44" s="50"/>
      <c r="X44" s="16"/>
    </row>
    <row r="45" spans="1:24" x14ac:dyDescent="0.2">
      <c r="A45" s="1"/>
      <c r="B45" s="1"/>
      <c r="C45" s="1"/>
      <c r="D45" s="1"/>
      <c r="E45" s="1"/>
      <c r="F45" s="1"/>
      <c r="G45" s="62">
        <v>44749</v>
      </c>
      <c r="H45" s="19">
        <v>1000</v>
      </c>
      <c r="I45" s="1"/>
      <c r="J45" s="1"/>
      <c r="K45" s="1"/>
      <c r="L45" s="1"/>
      <c r="M45" s="4"/>
      <c r="N45" s="4"/>
      <c r="O45" s="1"/>
      <c r="P45" s="1"/>
      <c r="Q45" s="1"/>
      <c r="R45" s="1"/>
      <c r="S45" s="16">
        <v>26</v>
      </c>
      <c r="T45" s="16"/>
      <c r="U45" s="16"/>
      <c r="V45" s="50"/>
      <c r="X45" s="50"/>
    </row>
    <row r="46" spans="1:24" x14ac:dyDescent="0.2">
      <c r="A46" s="1"/>
      <c r="B46" s="1"/>
      <c r="C46" s="1"/>
      <c r="D46" s="1"/>
      <c r="E46" s="1"/>
      <c r="F46" s="1"/>
      <c r="G46" s="62">
        <v>44752</v>
      </c>
      <c r="H46" s="19">
        <v>1000</v>
      </c>
      <c r="I46" s="1"/>
      <c r="J46" s="1"/>
      <c r="K46" s="1"/>
      <c r="L46" s="1"/>
      <c r="M46" s="4"/>
      <c r="N46" s="4"/>
      <c r="O46" s="1"/>
      <c r="P46" s="1"/>
      <c r="Q46" s="1"/>
      <c r="R46" s="1"/>
      <c r="S46" s="16">
        <v>27</v>
      </c>
      <c r="T46" s="16"/>
      <c r="U46" s="16"/>
      <c r="V46" s="50"/>
      <c r="X46" s="16"/>
    </row>
    <row r="47" spans="1:24" x14ac:dyDescent="0.2">
      <c r="A47" s="1"/>
      <c r="B47" s="1"/>
      <c r="C47" s="1">
        <f>(B35+F35+J35)</f>
        <v>873094</v>
      </c>
      <c r="D47" s="1"/>
      <c r="E47" s="1"/>
      <c r="F47" s="1"/>
      <c r="G47" s="62">
        <v>44757</v>
      </c>
      <c r="H47" s="19">
        <v>500</v>
      </c>
      <c r="I47" s="1"/>
      <c r="J47" s="1"/>
      <c r="K47" s="1"/>
      <c r="L47" s="1"/>
      <c r="M47" s="4"/>
      <c r="N47" s="4"/>
      <c r="O47" s="1"/>
      <c r="P47" s="1"/>
      <c r="Q47" s="1"/>
      <c r="R47" s="1"/>
      <c r="S47" s="16">
        <v>28</v>
      </c>
      <c r="T47" s="50"/>
      <c r="U47" s="16"/>
      <c r="V47" s="50"/>
      <c r="X47" s="16"/>
    </row>
    <row r="48" spans="1:24" x14ac:dyDescent="0.2">
      <c r="A48" s="1"/>
      <c r="B48" s="1"/>
      <c r="C48" s="42">
        <f>C35+G35</f>
        <v>416891</v>
      </c>
      <c r="D48" s="1"/>
      <c r="E48" s="1"/>
      <c r="F48" s="1"/>
      <c r="G48" s="62">
        <v>44761</v>
      </c>
      <c r="H48" s="19">
        <v>1000</v>
      </c>
      <c r="I48" s="1"/>
      <c r="J48" s="1"/>
      <c r="K48" s="1"/>
      <c r="L48" s="1"/>
      <c r="M48" s="4"/>
      <c r="N48" s="4"/>
      <c r="O48" s="1"/>
      <c r="P48" s="11">
        <v>105100</v>
      </c>
      <c r="Q48" s="1"/>
      <c r="R48" s="1"/>
      <c r="S48" s="16">
        <v>29</v>
      </c>
      <c r="T48" s="16"/>
      <c r="U48" s="50"/>
      <c r="V48" s="50"/>
      <c r="X48" s="16"/>
    </row>
    <row r="49" spans="1:24" x14ac:dyDescent="0.2">
      <c r="A49" s="1"/>
      <c r="B49" s="1"/>
      <c r="C49" s="1">
        <f>C48/C47</f>
        <v>0.47748696016694653</v>
      </c>
      <c r="D49" s="1"/>
      <c r="E49" s="1"/>
      <c r="F49" s="1"/>
      <c r="G49" s="62">
        <v>44765</v>
      </c>
      <c r="H49" s="19">
        <v>1000</v>
      </c>
      <c r="I49" s="1"/>
      <c r="J49" s="1"/>
      <c r="K49" s="1"/>
      <c r="L49" s="1"/>
      <c r="M49" s="4"/>
      <c r="N49" s="4"/>
      <c r="O49" s="1"/>
      <c r="P49" s="1"/>
      <c r="Q49" s="1"/>
      <c r="R49" s="1"/>
      <c r="S49" s="16">
        <v>30</v>
      </c>
      <c r="T49" s="16"/>
      <c r="U49" s="16"/>
      <c r="V49" s="50"/>
      <c r="X49" s="16"/>
    </row>
    <row r="50" spans="1:24" x14ac:dyDescent="0.2">
      <c r="A50" s="1"/>
      <c r="B50" s="1"/>
      <c r="C50" s="1"/>
      <c r="D50" s="1"/>
      <c r="E50" s="1"/>
      <c r="F50" s="1"/>
      <c r="G50" s="21">
        <v>44773</v>
      </c>
      <c r="H50" s="19">
        <v>500</v>
      </c>
      <c r="I50" s="1"/>
      <c r="J50" s="1"/>
      <c r="K50" s="1"/>
      <c r="L50" s="1"/>
      <c r="M50" s="4"/>
      <c r="N50" s="4"/>
      <c r="O50" s="1"/>
      <c r="P50" s="1"/>
      <c r="Q50" s="1"/>
      <c r="R50" s="1"/>
      <c r="S50" s="58" t="s">
        <v>116</v>
      </c>
      <c r="T50" s="59">
        <f t="shared" ref="T50:V50" si="3">SUM(T20:T49)</f>
        <v>15172</v>
      </c>
      <c r="U50" s="59">
        <f t="shared" si="3"/>
        <v>33444</v>
      </c>
      <c r="V50" s="59">
        <f t="shared" si="3"/>
        <v>0</v>
      </c>
      <c r="X50" s="50"/>
    </row>
    <row r="51" spans="1:24" x14ac:dyDescent="0.2">
      <c r="A51" s="1"/>
      <c r="B51" s="1"/>
      <c r="C51" s="1"/>
      <c r="D51" s="1"/>
      <c r="E51" s="1"/>
      <c r="F51" s="1"/>
      <c r="G51" s="4"/>
      <c r="H51" s="4">
        <f>SUM(H43:H50)</f>
        <v>7500</v>
      </c>
      <c r="I51" s="1"/>
      <c r="J51" s="1"/>
      <c r="K51" s="1"/>
      <c r="L51" s="1"/>
      <c r="M51" s="4"/>
      <c r="N51" s="4"/>
      <c r="O51" s="1"/>
      <c r="P51" s="1"/>
      <c r="Q51" s="1"/>
      <c r="R51" s="1"/>
      <c r="X51" s="42">
        <f>SUM(X20:X50)</f>
        <v>612</v>
      </c>
    </row>
    <row r="52" spans="1:2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4"/>
      <c r="O52" s="1"/>
      <c r="P52" s="1"/>
      <c r="Q52" s="1"/>
      <c r="R52" s="1"/>
    </row>
    <row r="53" spans="1:2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4"/>
      <c r="O53" s="1"/>
      <c r="P53" s="1"/>
      <c r="Q53" s="1"/>
      <c r="R53" s="1"/>
    </row>
    <row r="54" spans="1:2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4"/>
      <c r="O54" s="1"/>
      <c r="P54" s="1"/>
      <c r="Q54" s="1"/>
      <c r="R54" s="1"/>
    </row>
    <row r="55" spans="1:2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 t="s">
        <v>36</v>
      </c>
      <c r="N55" s="5">
        <f>SUM(N34:N54)</f>
        <v>65300</v>
      </c>
      <c r="O55" s="1"/>
      <c r="P55" s="1"/>
      <c r="Q55" s="1"/>
      <c r="R55" s="1"/>
      <c r="S55" s="1"/>
      <c r="T55" s="1"/>
    </row>
  </sheetData>
  <mergeCells count="14">
    <mergeCell ref="G41:H41"/>
    <mergeCell ref="A1:P1"/>
    <mergeCell ref="M2:N2"/>
    <mergeCell ref="A3:C3"/>
    <mergeCell ref="E3:G3"/>
    <mergeCell ref="I3:K3"/>
    <mergeCell ref="P4:R4"/>
    <mergeCell ref="M17:N17"/>
    <mergeCell ref="P17:Q17"/>
    <mergeCell ref="S18:V18"/>
    <mergeCell ref="M32:N32"/>
    <mergeCell ref="B36:C36"/>
    <mergeCell ref="F36:G36"/>
    <mergeCell ref="J36:K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X55"/>
  <sheetViews>
    <sheetView topLeftCell="A46" workbookViewId="0">
      <selection activeCell="N55" sqref="N55"/>
    </sheetView>
  </sheetViews>
  <sheetFormatPr defaultColWidth="12.5703125" defaultRowHeight="15.75" customHeight="1" x14ac:dyDescent="0.2"/>
  <cols>
    <col min="1" max="1" width="5.85546875" customWidth="1"/>
    <col min="2" max="2" width="6.42578125" customWidth="1"/>
    <col min="3" max="3" width="7" customWidth="1"/>
    <col min="4" max="4" width="2.85546875" customWidth="1"/>
    <col min="5" max="5" width="6.85546875" customWidth="1"/>
    <col min="6" max="6" width="6.42578125" customWidth="1"/>
    <col min="7" max="7" width="6.5703125" customWidth="1"/>
    <col min="8" max="8" width="4.42578125" customWidth="1"/>
    <col min="9" max="9" width="6.85546875" customWidth="1"/>
    <col min="10" max="10" width="6.42578125" customWidth="1"/>
    <col min="11" max="11" width="6.5703125" customWidth="1"/>
    <col min="12" max="12" width="6.28515625" customWidth="1"/>
    <col min="13" max="13" width="11.28515625" customWidth="1"/>
    <col min="14" max="14" width="6.7109375" customWidth="1"/>
    <col min="15" max="15" width="5.5703125" customWidth="1"/>
    <col min="16" max="16" width="11.7109375" customWidth="1"/>
    <col min="17" max="18" width="6.7109375" customWidth="1"/>
    <col min="19" max="19" width="7.140625" customWidth="1"/>
    <col min="20" max="21" width="5.5703125" customWidth="1"/>
    <col min="22" max="22" width="4.140625" customWidth="1"/>
    <col min="23" max="23" width="5.5703125" customWidth="1"/>
    <col min="24" max="24" width="3.7109375" customWidth="1"/>
  </cols>
  <sheetData>
    <row r="1" spans="1:24" x14ac:dyDescent="0.2">
      <c r="A1" s="80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79"/>
      <c r="Q1" s="1"/>
      <c r="R1" s="1"/>
    </row>
    <row r="2" spans="1:24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5" t="s">
        <v>1</v>
      </c>
      <c r="N2" s="79"/>
      <c r="O2" s="1"/>
      <c r="P2" s="1"/>
      <c r="Q2" s="1"/>
      <c r="R2" s="1"/>
    </row>
    <row r="3" spans="1:24" x14ac:dyDescent="0.2">
      <c r="A3" s="86" t="s">
        <v>2</v>
      </c>
      <c r="B3" s="84"/>
      <c r="C3" s="79"/>
      <c r="D3" s="1"/>
      <c r="E3" s="87" t="s">
        <v>3</v>
      </c>
      <c r="F3" s="84"/>
      <c r="G3" s="79"/>
      <c r="H3" s="1"/>
      <c r="I3" s="88" t="s">
        <v>4</v>
      </c>
      <c r="J3" s="84"/>
      <c r="K3" s="79"/>
      <c r="L3" s="1"/>
      <c r="M3" s="2" t="s">
        <v>5</v>
      </c>
      <c r="N3" s="3" t="s">
        <v>6</v>
      </c>
      <c r="O3" s="1"/>
      <c r="P3" s="1"/>
      <c r="Q3" s="1"/>
      <c r="R3" s="1"/>
    </row>
    <row r="4" spans="1:24" x14ac:dyDescent="0.2">
      <c r="A4" s="4" t="s">
        <v>7</v>
      </c>
      <c r="B4" s="4" t="s">
        <v>8</v>
      </c>
      <c r="C4" s="4" t="s">
        <v>9</v>
      </c>
      <c r="D4" s="1"/>
      <c r="E4" s="4" t="s">
        <v>7</v>
      </c>
      <c r="F4" s="4" t="s">
        <v>8</v>
      </c>
      <c r="G4" s="4" t="s">
        <v>9</v>
      </c>
      <c r="H4" s="1"/>
      <c r="I4" s="4" t="s">
        <v>7</v>
      </c>
      <c r="J4" s="4" t="s">
        <v>8</v>
      </c>
      <c r="K4" s="4" t="s">
        <v>9</v>
      </c>
      <c r="L4" s="1"/>
      <c r="M4" s="16" t="s">
        <v>69</v>
      </c>
      <c r="N4" s="16">
        <v>17000</v>
      </c>
      <c r="O4" s="11">
        <v>6000</v>
      </c>
      <c r="P4" s="83" t="s">
        <v>11</v>
      </c>
      <c r="Q4" s="84"/>
      <c r="R4" s="79"/>
      <c r="T4" s="1"/>
      <c r="U4" s="1"/>
      <c r="V4" s="1"/>
      <c r="X4" s="1"/>
    </row>
    <row r="5" spans="1:24" x14ac:dyDescent="0.2">
      <c r="A5" s="5">
        <v>1</v>
      </c>
      <c r="B5" s="20">
        <v>0</v>
      </c>
      <c r="C5" s="20">
        <v>0</v>
      </c>
      <c r="D5" s="11" t="s">
        <v>21</v>
      </c>
      <c r="E5" s="5">
        <v>1</v>
      </c>
      <c r="F5" s="20">
        <v>9895</v>
      </c>
      <c r="G5" s="20">
        <v>6691</v>
      </c>
      <c r="H5" s="7"/>
      <c r="I5" s="5">
        <v>1</v>
      </c>
      <c r="J5" s="20">
        <v>2900</v>
      </c>
      <c r="K5" s="20">
        <v>0</v>
      </c>
      <c r="L5" s="1"/>
      <c r="M5" s="4" t="s">
        <v>12</v>
      </c>
      <c r="N5" s="20">
        <v>18000</v>
      </c>
      <c r="O5" s="11">
        <v>6000</v>
      </c>
      <c r="P5" s="4" t="s">
        <v>13</v>
      </c>
      <c r="Q5" s="4" t="s">
        <v>14</v>
      </c>
      <c r="R5" s="4" t="s">
        <v>6</v>
      </c>
      <c r="T5" s="1"/>
      <c r="U5" s="1"/>
      <c r="V5" s="1"/>
      <c r="X5" s="1"/>
    </row>
    <row r="6" spans="1:24" x14ac:dyDescent="0.2">
      <c r="A6" s="5">
        <v>2</v>
      </c>
      <c r="B6" s="20">
        <v>2320</v>
      </c>
      <c r="C6" s="20">
        <v>1519</v>
      </c>
      <c r="D6" s="29"/>
      <c r="E6" s="5">
        <v>2</v>
      </c>
      <c r="F6" s="20">
        <v>13955</v>
      </c>
      <c r="G6" s="20">
        <v>8947</v>
      </c>
      <c r="H6" s="7"/>
      <c r="I6" s="5">
        <v>2</v>
      </c>
      <c r="J6" s="20">
        <v>2300</v>
      </c>
      <c r="K6" s="20">
        <v>0</v>
      </c>
      <c r="L6" s="1"/>
      <c r="M6" s="4" t="s">
        <v>15</v>
      </c>
      <c r="N6" s="20">
        <v>15000</v>
      </c>
      <c r="O6" s="11">
        <v>5000</v>
      </c>
      <c r="P6" s="18"/>
      <c r="Q6" s="19"/>
      <c r="R6" s="20"/>
      <c r="T6" s="61"/>
      <c r="U6" s="11"/>
      <c r="V6" s="29"/>
      <c r="X6" s="61"/>
    </row>
    <row r="7" spans="1:24" x14ac:dyDescent="0.2">
      <c r="A7" s="5">
        <v>3</v>
      </c>
      <c r="B7" s="20">
        <v>650</v>
      </c>
      <c r="C7" s="20">
        <v>360</v>
      </c>
      <c r="D7" s="7"/>
      <c r="E7" s="5">
        <v>3</v>
      </c>
      <c r="F7" s="20">
        <v>22650</v>
      </c>
      <c r="G7" s="20">
        <v>22585</v>
      </c>
      <c r="H7" s="7"/>
      <c r="I7" s="5">
        <v>3</v>
      </c>
      <c r="J7" s="20">
        <v>12440</v>
      </c>
      <c r="K7" s="20">
        <v>0</v>
      </c>
      <c r="L7" s="11"/>
      <c r="M7" s="4" t="s">
        <v>19</v>
      </c>
      <c r="N7" s="20">
        <v>13000</v>
      </c>
      <c r="O7" s="11">
        <v>4000</v>
      </c>
      <c r="P7" s="21"/>
      <c r="Q7" s="19"/>
      <c r="R7" s="19"/>
      <c r="T7" s="28"/>
      <c r="U7" s="11"/>
      <c r="V7" s="11"/>
      <c r="X7" s="61"/>
    </row>
    <row r="8" spans="1:24" x14ac:dyDescent="0.2">
      <c r="A8" s="5">
        <v>4</v>
      </c>
      <c r="B8" s="19">
        <v>5118</v>
      </c>
      <c r="C8" s="19">
        <v>4408</v>
      </c>
      <c r="D8" s="11"/>
      <c r="E8" s="5">
        <v>4</v>
      </c>
      <c r="F8" s="19">
        <v>22734</v>
      </c>
      <c r="G8" s="19">
        <v>9239</v>
      </c>
      <c r="H8" s="11"/>
      <c r="I8" s="5">
        <v>4</v>
      </c>
      <c r="J8" s="19">
        <v>18436</v>
      </c>
      <c r="K8" s="19">
        <v>0</v>
      </c>
      <c r="L8" s="1"/>
      <c r="M8" s="4" t="s">
        <v>22</v>
      </c>
      <c r="N8" s="20">
        <v>13000</v>
      </c>
      <c r="O8" s="11">
        <v>4000</v>
      </c>
      <c r="P8" s="21"/>
      <c r="Q8" s="19"/>
      <c r="R8" s="19"/>
      <c r="T8" s="28"/>
      <c r="U8" s="11"/>
      <c r="V8" s="11"/>
      <c r="X8" s="28"/>
    </row>
    <row r="9" spans="1:24" x14ac:dyDescent="0.2">
      <c r="A9" s="5">
        <v>5</v>
      </c>
      <c r="B9" s="19">
        <v>5430</v>
      </c>
      <c r="C9" s="19">
        <v>3659</v>
      </c>
      <c r="D9" s="11"/>
      <c r="E9" s="5">
        <v>5</v>
      </c>
      <c r="F9" s="19">
        <v>21516</v>
      </c>
      <c r="G9" s="19">
        <v>8989</v>
      </c>
      <c r="H9" s="11"/>
      <c r="I9" s="5">
        <v>5</v>
      </c>
      <c r="J9" s="19">
        <v>6900</v>
      </c>
      <c r="K9" s="19">
        <v>0</v>
      </c>
      <c r="L9" s="1"/>
      <c r="M9" s="4" t="s">
        <v>24</v>
      </c>
      <c r="N9" s="20">
        <v>8000</v>
      </c>
      <c r="O9" s="11">
        <v>3000</v>
      </c>
      <c r="P9" s="21"/>
      <c r="Q9" s="19"/>
      <c r="R9" s="19"/>
      <c r="T9" s="28"/>
      <c r="U9" s="11"/>
      <c r="V9" s="11"/>
      <c r="X9" s="28"/>
    </row>
    <row r="10" spans="1:24" x14ac:dyDescent="0.2">
      <c r="A10" s="5">
        <v>6</v>
      </c>
      <c r="B10" s="19">
        <v>5800</v>
      </c>
      <c r="C10" s="19">
        <v>5192</v>
      </c>
      <c r="D10" s="11"/>
      <c r="E10" s="5">
        <v>6</v>
      </c>
      <c r="F10" s="19">
        <v>17425</v>
      </c>
      <c r="G10" s="19">
        <v>5897</v>
      </c>
      <c r="H10" s="11"/>
      <c r="I10" s="5">
        <v>6</v>
      </c>
      <c r="J10" s="19">
        <v>29600</v>
      </c>
      <c r="K10" s="19">
        <v>0</v>
      </c>
      <c r="L10" s="1"/>
      <c r="M10" s="4"/>
      <c r="N10" s="20"/>
      <c r="O10" s="1"/>
      <c r="P10" s="21"/>
      <c r="Q10" s="19"/>
      <c r="R10" s="19"/>
      <c r="T10" s="28"/>
      <c r="U10" s="11"/>
      <c r="V10" s="11"/>
      <c r="X10" s="28"/>
    </row>
    <row r="11" spans="1:24" x14ac:dyDescent="0.2">
      <c r="A11" s="5">
        <v>7</v>
      </c>
      <c r="B11" s="19">
        <v>2576</v>
      </c>
      <c r="C11" s="19">
        <v>906</v>
      </c>
      <c r="D11" s="11"/>
      <c r="E11" s="5">
        <v>7</v>
      </c>
      <c r="F11" s="19">
        <v>20445</v>
      </c>
      <c r="G11" s="19">
        <v>9832</v>
      </c>
      <c r="H11" s="11"/>
      <c r="I11" s="5">
        <v>7</v>
      </c>
      <c r="J11" s="19">
        <v>500</v>
      </c>
      <c r="K11" s="19">
        <v>0</v>
      </c>
      <c r="L11" s="11" t="s">
        <v>135</v>
      </c>
      <c r="M11" s="4" t="s">
        <v>29</v>
      </c>
      <c r="N11" s="20">
        <v>13000</v>
      </c>
      <c r="O11" s="40">
        <v>4000</v>
      </c>
      <c r="P11" s="21"/>
      <c r="Q11" s="19"/>
      <c r="R11" s="19"/>
      <c r="T11" s="28"/>
      <c r="U11" s="11"/>
      <c r="V11" s="11"/>
      <c r="X11" s="28"/>
    </row>
    <row r="12" spans="1:24" x14ac:dyDescent="0.2">
      <c r="A12" s="5">
        <v>8</v>
      </c>
      <c r="B12" s="19">
        <v>0</v>
      </c>
      <c r="C12" s="19">
        <v>0</v>
      </c>
      <c r="D12" s="11" t="s">
        <v>21</v>
      </c>
      <c r="E12" s="5">
        <v>8</v>
      </c>
      <c r="F12" s="19">
        <v>1470</v>
      </c>
      <c r="G12" s="19">
        <v>3849</v>
      </c>
      <c r="H12" s="11"/>
      <c r="I12" s="5">
        <v>8</v>
      </c>
      <c r="J12" s="19">
        <v>3400</v>
      </c>
      <c r="K12" s="19">
        <v>0</v>
      </c>
      <c r="L12" s="11"/>
      <c r="M12" s="19" t="s">
        <v>74</v>
      </c>
      <c r="N12" s="20">
        <v>11000</v>
      </c>
      <c r="O12" s="11">
        <v>4000</v>
      </c>
      <c r="P12" s="21"/>
      <c r="Q12" s="19"/>
      <c r="R12" s="19"/>
      <c r="T12" s="28"/>
      <c r="U12" s="11"/>
      <c r="V12" s="11"/>
      <c r="X12" s="28"/>
    </row>
    <row r="13" spans="1:24" x14ac:dyDescent="0.2">
      <c r="A13" s="5">
        <v>9</v>
      </c>
      <c r="B13" s="19">
        <v>3086</v>
      </c>
      <c r="C13" s="19">
        <v>3049</v>
      </c>
      <c r="D13" s="11"/>
      <c r="E13" s="5">
        <v>9</v>
      </c>
      <c r="F13" s="19">
        <v>16769</v>
      </c>
      <c r="G13" s="19">
        <v>11961</v>
      </c>
      <c r="H13" s="11"/>
      <c r="I13" s="5">
        <v>9</v>
      </c>
      <c r="J13" s="19">
        <v>2400</v>
      </c>
      <c r="K13" s="19">
        <v>0</v>
      </c>
      <c r="L13" s="11"/>
      <c r="M13" s="19" t="s">
        <v>87</v>
      </c>
      <c r="N13" s="19">
        <v>11500</v>
      </c>
      <c r="O13" s="11">
        <v>4000</v>
      </c>
      <c r="P13" s="21"/>
      <c r="Q13" s="19"/>
      <c r="R13" s="19"/>
      <c r="T13" s="28"/>
      <c r="U13" s="11"/>
      <c r="V13" s="11"/>
      <c r="X13" s="28"/>
    </row>
    <row r="14" spans="1:24" x14ac:dyDescent="0.2">
      <c r="A14" s="5">
        <v>10</v>
      </c>
      <c r="B14" s="19">
        <v>3320</v>
      </c>
      <c r="C14" s="19">
        <v>2990</v>
      </c>
      <c r="D14" s="11"/>
      <c r="E14" s="5">
        <v>10</v>
      </c>
      <c r="F14" s="19">
        <v>20327</v>
      </c>
      <c r="G14" s="19">
        <v>14992</v>
      </c>
      <c r="H14" s="11"/>
      <c r="I14" s="5">
        <v>10</v>
      </c>
      <c r="J14" s="19">
        <v>6900</v>
      </c>
      <c r="K14" s="19">
        <v>0</v>
      </c>
      <c r="L14" s="1"/>
      <c r="M14" s="19"/>
      <c r="N14" s="19"/>
      <c r="O14" s="11"/>
      <c r="P14" s="21"/>
      <c r="Q14" s="19"/>
      <c r="R14" s="19"/>
      <c r="T14" s="28"/>
      <c r="U14" s="11"/>
      <c r="V14" s="11"/>
      <c r="X14" s="28"/>
    </row>
    <row r="15" spans="1:24" x14ac:dyDescent="0.2">
      <c r="A15" s="5">
        <v>11</v>
      </c>
      <c r="B15" s="19">
        <v>5856</v>
      </c>
      <c r="C15" s="19">
        <v>5220</v>
      </c>
      <c r="D15" s="11"/>
      <c r="E15" s="5">
        <v>11</v>
      </c>
      <c r="F15" s="19">
        <v>15515</v>
      </c>
      <c r="G15" s="19">
        <v>9427</v>
      </c>
      <c r="H15" s="11"/>
      <c r="I15" s="5">
        <v>11</v>
      </c>
      <c r="J15" s="19">
        <v>3900</v>
      </c>
      <c r="K15" s="19">
        <v>0</v>
      </c>
      <c r="L15" s="1"/>
      <c r="M15" s="12" t="s">
        <v>79</v>
      </c>
      <c r="N15" s="13">
        <f>SUM(N4:N14)</f>
        <v>119500</v>
      </c>
      <c r="O15" s="1"/>
      <c r="P15" s="21"/>
      <c r="Q15" s="19"/>
      <c r="R15" s="19"/>
      <c r="T15" s="28"/>
      <c r="U15" s="11"/>
      <c r="V15" s="11"/>
      <c r="X15" s="28"/>
    </row>
    <row r="16" spans="1:24" x14ac:dyDescent="0.2">
      <c r="A16" s="5">
        <v>12</v>
      </c>
      <c r="B16" s="19">
        <v>2561</v>
      </c>
      <c r="C16" s="19">
        <v>2541</v>
      </c>
      <c r="D16" s="11"/>
      <c r="E16" s="5">
        <v>12</v>
      </c>
      <c r="F16" s="19">
        <v>24270</v>
      </c>
      <c r="G16" s="19">
        <v>13006</v>
      </c>
      <c r="H16" s="11"/>
      <c r="I16" s="5">
        <v>12</v>
      </c>
      <c r="J16" s="19">
        <v>8400</v>
      </c>
      <c r="K16" s="19">
        <v>0</v>
      </c>
      <c r="L16" s="1"/>
      <c r="M16" s="25"/>
      <c r="N16" s="6"/>
      <c r="O16" s="1"/>
      <c r="P16" s="1"/>
      <c r="Q16" s="1"/>
      <c r="R16" s="1">
        <f>SUM(R10:R15)</f>
        <v>0</v>
      </c>
    </row>
    <row r="17" spans="1:24" x14ac:dyDescent="0.2">
      <c r="A17" s="5">
        <v>13</v>
      </c>
      <c r="B17" s="19">
        <v>808</v>
      </c>
      <c r="C17" s="19">
        <v>444</v>
      </c>
      <c r="D17" s="11"/>
      <c r="E17" s="5">
        <v>13</v>
      </c>
      <c r="F17" s="19">
        <v>15910</v>
      </c>
      <c r="G17" s="19">
        <v>14861</v>
      </c>
      <c r="H17" s="11"/>
      <c r="I17" s="5">
        <v>13</v>
      </c>
      <c r="J17" s="19">
        <v>17200</v>
      </c>
      <c r="K17" s="19">
        <v>0</v>
      </c>
      <c r="L17" s="1"/>
      <c r="M17" s="78" t="s">
        <v>37</v>
      </c>
      <c r="N17" s="79"/>
      <c r="O17" s="1"/>
      <c r="P17" s="80" t="s">
        <v>38</v>
      </c>
      <c r="Q17" s="79"/>
      <c r="R17" s="1"/>
    </row>
    <row r="18" spans="1:24" x14ac:dyDescent="0.2">
      <c r="A18" s="5">
        <v>14</v>
      </c>
      <c r="B18" s="19">
        <v>2633</v>
      </c>
      <c r="C18" s="19">
        <v>2588</v>
      </c>
      <c r="D18" s="11"/>
      <c r="E18" s="5">
        <v>14</v>
      </c>
      <c r="F18" s="19">
        <v>22424</v>
      </c>
      <c r="G18" s="19">
        <v>4482</v>
      </c>
      <c r="H18" s="11"/>
      <c r="I18" s="5">
        <v>14</v>
      </c>
      <c r="J18" s="19">
        <v>28000</v>
      </c>
      <c r="K18" s="19">
        <v>0</v>
      </c>
      <c r="L18" s="1"/>
      <c r="M18" s="2" t="s">
        <v>39</v>
      </c>
      <c r="N18" s="3" t="s">
        <v>6</v>
      </c>
      <c r="O18" s="1"/>
      <c r="P18" s="2" t="s">
        <v>5</v>
      </c>
      <c r="Q18" s="3" t="s">
        <v>6</v>
      </c>
      <c r="R18" s="1"/>
      <c r="S18" s="89" t="s">
        <v>105</v>
      </c>
      <c r="T18" s="84"/>
      <c r="U18" s="84"/>
      <c r="V18" s="79"/>
    </row>
    <row r="19" spans="1:24" x14ac:dyDescent="0.2">
      <c r="A19" s="5">
        <v>15</v>
      </c>
      <c r="B19" s="19">
        <v>0</v>
      </c>
      <c r="C19" s="19">
        <v>0</v>
      </c>
      <c r="D19" s="11" t="s">
        <v>21</v>
      </c>
      <c r="E19" s="5">
        <v>15</v>
      </c>
      <c r="F19" s="19">
        <v>16355</v>
      </c>
      <c r="G19" s="19">
        <v>3726</v>
      </c>
      <c r="H19" s="11"/>
      <c r="I19" s="5">
        <v>15</v>
      </c>
      <c r="J19" s="19">
        <v>1800</v>
      </c>
      <c r="K19" s="19">
        <v>0</v>
      </c>
      <c r="L19" s="1"/>
      <c r="M19" s="4" t="s">
        <v>41</v>
      </c>
      <c r="N19" s="20">
        <v>50000</v>
      </c>
      <c r="O19" s="1"/>
      <c r="P19" s="4" t="s">
        <v>42</v>
      </c>
      <c r="Q19" s="5">
        <f>B35+F35+J35</f>
        <v>1017507</v>
      </c>
      <c r="R19" s="1"/>
      <c r="S19" s="16" t="s">
        <v>106</v>
      </c>
      <c r="T19" s="16" t="s">
        <v>68</v>
      </c>
      <c r="U19" s="16" t="s">
        <v>107</v>
      </c>
      <c r="V19" s="16" t="s">
        <v>108</v>
      </c>
      <c r="X19" s="16" t="s">
        <v>109</v>
      </c>
    </row>
    <row r="20" spans="1:24" x14ac:dyDescent="0.2">
      <c r="A20" s="5">
        <v>16</v>
      </c>
      <c r="B20" s="19">
        <v>4056</v>
      </c>
      <c r="C20" s="19">
        <v>2404</v>
      </c>
      <c r="D20" s="11"/>
      <c r="E20" s="5">
        <v>16</v>
      </c>
      <c r="F20" s="19">
        <v>15450</v>
      </c>
      <c r="G20" s="19">
        <v>10545</v>
      </c>
      <c r="H20" s="11"/>
      <c r="I20" s="5">
        <v>16</v>
      </c>
      <c r="J20" s="19">
        <v>3400</v>
      </c>
      <c r="K20" s="19">
        <v>0</v>
      </c>
      <c r="L20" s="11"/>
      <c r="M20" s="4" t="s">
        <v>43</v>
      </c>
      <c r="N20" s="19">
        <v>35845</v>
      </c>
      <c r="O20" s="1"/>
      <c r="P20" s="4" t="s">
        <v>44</v>
      </c>
      <c r="Q20" s="5">
        <f>C35+G35+K35+N15+N30+N55</f>
        <v>716405</v>
      </c>
      <c r="R20" s="1"/>
      <c r="S20" s="16">
        <v>1</v>
      </c>
      <c r="T20" s="16"/>
      <c r="U20" s="50"/>
      <c r="V20" s="50"/>
      <c r="X20" s="16"/>
    </row>
    <row r="21" spans="1:24" x14ac:dyDescent="0.2">
      <c r="A21" s="5">
        <v>17</v>
      </c>
      <c r="B21" s="19">
        <v>1530</v>
      </c>
      <c r="C21" s="19">
        <v>500</v>
      </c>
      <c r="D21" s="11"/>
      <c r="E21" s="5">
        <v>17</v>
      </c>
      <c r="F21" s="19">
        <v>19564</v>
      </c>
      <c r="G21" s="19">
        <v>8534</v>
      </c>
      <c r="H21" s="11"/>
      <c r="I21" s="5">
        <v>17</v>
      </c>
      <c r="J21" s="19">
        <v>0</v>
      </c>
      <c r="K21" s="19">
        <v>0</v>
      </c>
      <c r="L21" s="1"/>
      <c r="M21" s="4" t="s">
        <v>46</v>
      </c>
      <c r="N21" s="5">
        <v>2500</v>
      </c>
      <c r="O21" s="1"/>
      <c r="P21" s="26" t="s">
        <v>47</v>
      </c>
      <c r="Q21" s="27">
        <f>Q19-Q20</f>
        <v>301102</v>
      </c>
      <c r="R21" s="1"/>
      <c r="S21" s="16">
        <v>2</v>
      </c>
      <c r="T21" s="16"/>
      <c r="U21" s="16"/>
      <c r="V21" s="50"/>
      <c r="X21" s="16"/>
    </row>
    <row r="22" spans="1:24" x14ac:dyDescent="0.2">
      <c r="A22" s="5">
        <v>18</v>
      </c>
      <c r="B22" s="19">
        <v>3160</v>
      </c>
      <c r="C22" s="19">
        <v>2385</v>
      </c>
      <c r="D22" s="11"/>
      <c r="E22" s="5">
        <v>18</v>
      </c>
      <c r="F22" s="19">
        <v>18930</v>
      </c>
      <c r="G22" s="19">
        <v>15544</v>
      </c>
      <c r="H22" s="11"/>
      <c r="I22" s="5">
        <v>18</v>
      </c>
      <c r="J22" s="19">
        <v>3600</v>
      </c>
      <c r="K22" s="19">
        <v>0</v>
      </c>
      <c r="L22" s="1"/>
      <c r="M22" s="4"/>
      <c r="N22" s="19"/>
      <c r="O22" s="1"/>
      <c r="P22" s="4" t="s">
        <v>49</v>
      </c>
      <c r="Q22" s="20">
        <v>35000</v>
      </c>
      <c r="R22" s="1"/>
      <c r="S22" s="16">
        <v>3</v>
      </c>
      <c r="T22" s="50"/>
      <c r="U22" s="16"/>
      <c r="V22" s="50"/>
      <c r="X22" s="16"/>
    </row>
    <row r="23" spans="1:24" x14ac:dyDescent="0.2">
      <c r="A23" s="5">
        <v>19</v>
      </c>
      <c r="B23" s="19">
        <v>3088</v>
      </c>
      <c r="C23" s="19">
        <v>530</v>
      </c>
      <c r="D23" s="11"/>
      <c r="E23" s="5">
        <v>19</v>
      </c>
      <c r="F23" s="19">
        <v>21190</v>
      </c>
      <c r="G23" s="19">
        <v>20451</v>
      </c>
      <c r="H23" s="11"/>
      <c r="I23" s="5">
        <v>19</v>
      </c>
      <c r="J23" s="19">
        <v>5300</v>
      </c>
      <c r="K23" s="19">
        <v>0</v>
      </c>
      <c r="L23" s="1"/>
      <c r="M23" s="4" t="s">
        <v>50</v>
      </c>
      <c r="N23" s="5">
        <v>1690</v>
      </c>
      <c r="O23" s="1"/>
      <c r="P23" s="11" t="s">
        <v>133</v>
      </c>
      <c r="Q23" s="1">
        <f>C35+G35+K35</f>
        <v>435370</v>
      </c>
      <c r="R23" s="1"/>
      <c r="S23" s="16">
        <v>4</v>
      </c>
      <c r="T23" s="16"/>
      <c r="U23" s="16"/>
      <c r="V23" s="50"/>
      <c r="X23" s="16"/>
    </row>
    <row r="24" spans="1:24" x14ac:dyDescent="0.2">
      <c r="A24" s="5">
        <v>20</v>
      </c>
      <c r="B24" s="19">
        <v>2400</v>
      </c>
      <c r="C24" s="19">
        <v>1430</v>
      </c>
      <c r="D24" s="11"/>
      <c r="E24" s="5">
        <v>20</v>
      </c>
      <c r="F24" s="19">
        <v>34224</v>
      </c>
      <c r="G24" s="19">
        <v>20400</v>
      </c>
      <c r="H24" s="11"/>
      <c r="I24" s="5">
        <v>20</v>
      </c>
      <c r="J24" s="19">
        <v>13400</v>
      </c>
      <c r="K24" s="19">
        <v>0</v>
      </c>
      <c r="L24" s="1"/>
      <c r="M24" s="4" t="s">
        <v>51</v>
      </c>
      <c r="N24" s="20">
        <v>5000</v>
      </c>
      <c r="O24" s="1"/>
      <c r="P24" s="1"/>
      <c r="Q24" s="1"/>
      <c r="R24" s="1"/>
      <c r="S24" s="16">
        <v>5</v>
      </c>
      <c r="T24" s="16"/>
      <c r="U24" s="16"/>
      <c r="V24" s="50"/>
      <c r="X24" s="16"/>
    </row>
    <row r="25" spans="1:24" x14ac:dyDescent="0.2">
      <c r="A25" s="5">
        <v>21</v>
      </c>
      <c r="B25" s="19">
        <v>480</v>
      </c>
      <c r="C25" s="19">
        <v>460</v>
      </c>
      <c r="D25" s="11"/>
      <c r="E25" s="5">
        <v>21</v>
      </c>
      <c r="F25" s="19">
        <v>32290</v>
      </c>
      <c r="G25" s="19">
        <v>19667</v>
      </c>
      <c r="H25" s="11"/>
      <c r="I25" s="5">
        <v>21</v>
      </c>
      <c r="J25" s="19">
        <v>8000</v>
      </c>
      <c r="K25" s="19">
        <v>0</v>
      </c>
      <c r="L25" s="11"/>
      <c r="M25" s="19" t="s">
        <v>89</v>
      </c>
      <c r="N25" s="4"/>
      <c r="O25" s="1"/>
      <c r="P25" s="1"/>
      <c r="Q25" s="1"/>
      <c r="R25" s="1"/>
      <c r="S25" s="16">
        <v>6</v>
      </c>
      <c r="T25" s="16"/>
      <c r="U25" s="16"/>
      <c r="V25" s="50"/>
      <c r="X25" s="16"/>
    </row>
    <row r="26" spans="1:24" x14ac:dyDescent="0.2">
      <c r="A26" s="5">
        <v>22</v>
      </c>
      <c r="B26" s="19">
        <v>0</v>
      </c>
      <c r="C26" s="19">
        <v>0</v>
      </c>
      <c r="D26" s="11" t="s">
        <v>21</v>
      </c>
      <c r="E26" s="5">
        <v>22</v>
      </c>
      <c r="F26" s="19">
        <v>16972</v>
      </c>
      <c r="G26" s="19">
        <v>13212</v>
      </c>
      <c r="H26" s="11"/>
      <c r="I26" s="5">
        <v>22</v>
      </c>
      <c r="J26" s="19">
        <v>26800</v>
      </c>
      <c r="K26" s="19">
        <v>0</v>
      </c>
      <c r="L26" s="1"/>
      <c r="M26" s="19"/>
      <c r="N26" s="19"/>
      <c r="O26" s="1"/>
      <c r="P26" s="1"/>
      <c r="Q26" s="1"/>
      <c r="R26" s="1"/>
      <c r="S26" s="16">
        <v>7</v>
      </c>
      <c r="T26" s="50"/>
      <c r="U26" s="16"/>
      <c r="V26" s="50"/>
      <c r="X26" s="16"/>
    </row>
    <row r="27" spans="1:24" x14ac:dyDescent="0.2">
      <c r="A27" s="5">
        <v>23</v>
      </c>
      <c r="B27" s="19">
        <v>2110</v>
      </c>
      <c r="C27" s="19">
        <v>1510</v>
      </c>
      <c r="D27" s="11"/>
      <c r="E27" s="5">
        <v>23</v>
      </c>
      <c r="F27" s="19">
        <v>25497</v>
      </c>
      <c r="G27" s="19">
        <v>12833</v>
      </c>
      <c r="H27" s="11"/>
      <c r="I27" s="5">
        <v>23</v>
      </c>
      <c r="J27" s="19">
        <v>1300</v>
      </c>
      <c r="K27" s="19">
        <v>0</v>
      </c>
      <c r="L27" s="1"/>
      <c r="M27" s="19"/>
      <c r="N27" s="19"/>
      <c r="O27" s="1"/>
      <c r="P27" s="1">
        <f>(N15+N55)-Z17</f>
        <v>186000</v>
      </c>
      <c r="Q27" s="1"/>
      <c r="R27" s="1"/>
      <c r="S27" s="16">
        <v>8</v>
      </c>
      <c r="T27" s="50"/>
      <c r="U27" s="16"/>
      <c r="V27" s="50"/>
      <c r="X27" s="16"/>
    </row>
    <row r="28" spans="1:24" x14ac:dyDescent="0.2">
      <c r="A28" s="5">
        <v>24</v>
      </c>
      <c r="B28" s="19">
        <v>4970</v>
      </c>
      <c r="C28" s="19">
        <v>4776</v>
      </c>
      <c r="D28" s="11"/>
      <c r="E28" s="5">
        <v>24</v>
      </c>
      <c r="F28" s="19">
        <v>21305</v>
      </c>
      <c r="G28" s="19">
        <v>14298</v>
      </c>
      <c r="H28" s="11"/>
      <c r="I28" s="5">
        <v>24</v>
      </c>
      <c r="J28" s="19">
        <v>34700</v>
      </c>
      <c r="K28" s="19">
        <v>0</v>
      </c>
      <c r="L28" s="1"/>
      <c r="M28" s="4"/>
      <c r="N28" s="4"/>
      <c r="O28" s="1"/>
      <c r="P28" s="11"/>
      <c r="Q28" s="11"/>
      <c r="R28" s="1"/>
      <c r="S28" s="16">
        <v>9</v>
      </c>
      <c r="T28" s="16"/>
      <c r="U28" s="16"/>
      <c r="V28" s="50"/>
      <c r="X28" s="16"/>
    </row>
    <row r="29" spans="1:24" x14ac:dyDescent="0.2">
      <c r="A29" s="5">
        <v>25</v>
      </c>
      <c r="B29" s="19">
        <v>1130</v>
      </c>
      <c r="C29" s="19">
        <v>661</v>
      </c>
      <c r="D29" s="11"/>
      <c r="E29" s="5">
        <v>25</v>
      </c>
      <c r="F29" s="19">
        <v>21510</v>
      </c>
      <c r="G29" s="19">
        <v>11702</v>
      </c>
      <c r="H29" s="11"/>
      <c r="I29" s="5">
        <v>25</v>
      </c>
      <c r="J29" s="19">
        <v>7700</v>
      </c>
      <c r="K29" s="19">
        <v>0</v>
      </c>
      <c r="L29" s="1"/>
      <c r="M29" s="4"/>
      <c r="N29" s="4"/>
      <c r="O29" s="1"/>
      <c r="P29" s="11"/>
      <c r="Q29" s="1"/>
      <c r="R29" s="1"/>
      <c r="S29" s="16">
        <v>10</v>
      </c>
      <c r="T29" s="50"/>
      <c r="U29" s="50"/>
      <c r="V29" s="50"/>
      <c r="X29" s="16"/>
    </row>
    <row r="30" spans="1:24" x14ac:dyDescent="0.2">
      <c r="A30" s="5">
        <v>26</v>
      </c>
      <c r="B30" s="19">
        <v>2970</v>
      </c>
      <c r="C30" s="19">
        <v>0</v>
      </c>
      <c r="D30" s="11"/>
      <c r="E30" s="5">
        <v>26</v>
      </c>
      <c r="F30" s="19">
        <v>31950</v>
      </c>
      <c r="G30" s="19">
        <v>12383</v>
      </c>
      <c r="H30" s="11"/>
      <c r="I30" s="5">
        <v>26</v>
      </c>
      <c r="J30" s="19">
        <v>17800</v>
      </c>
      <c r="K30" s="19">
        <v>0</v>
      </c>
      <c r="L30" s="1"/>
      <c r="M30" s="12" t="s">
        <v>36</v>
      </c>
      <c r="N30" s="13">
        <f>SUM(N19:N29)</f>
        <v>95035</v>
      </c>
      <c r="O30" s="1"/>
      <c r="P30" s="1"/>
      <c r="Q30" s="11"/>
      <c r="R30" s="1"/>
      <c r="S30" s="16">
        <v>11</v>
      </c>
      <c r="T30" s="16"/>
      <c r="U30" s="16"/>
      <c r="V30" s="50"/>
      <c r="X30" s="16"/>
    </row>
    <row r="31" spans="1:24" x14ac:dyDescent="0.2">
      <c r="A31" s="5">
        <v>27</v>
      </c>
      <c r="B31" s="19">
        <v>2550</v>
      </c>
      <c r="C31" s="19">
        <v>1930</v>
      </c>
      <c r="D31" s="11"/>
      <c r="E31" s="5">
        <v>27</v>
      </c>
      <c r="F31" s="19">
        <v>33491</v>
      </c>
      <c r="G31" s="19">
        <v>21468</v>
      </c>
      <c r="H31" s="11"/>
      <c r="I31" s="5">
        <v>27</v>
      </c>
      <c r="J31" s="19">
        <v>2600</v>
      </c>
      <c r="K31" s="19">
        <v>0</v>
      </c>
      <c r="L31" s="1"/>
      <c r="M31" s="1"/>
      <c r="N31" s="1"/>
      <c r="O31" s="1"/>
      <c r="P31" s="1"/>
      <c r="Q31" s="1"/>
      <c r="R31" s="1"/>
      <c r="S31" s="16">
        <v>12</v>
      </c>
      <c r="T31" s="50"/>
      <c r="U31" s="50"/>
      <c r="V31" s="50"/>
      <c r="X31" s="16"/>
    </row>
    <row r="32" spans="1:24" x14ac:dyDescent="0.2">
      <c r="A32" s="5">
        <v>28</v>
      </c>
      <c r="B32" s="19">
        <v>6770</v>
      </c>
      <c r="C32" s="19">
        <v>4558</v>
      </c>
      <c r="D32" s="11"/>
      <c r="E32" s="5">
        <v>28</v>
      </c>
      <c r="F32" s="19">
        <v>24859</v>
      </c>
      <c r="G32" s="19">
        <v>9158</v>
      </c>
      <c r="H32" s="1"/>
      <c r="I32" s="5">
        <v>28</v>
      </c>
      <c r="J32" s="19">
        <v>1300</v>
      </c>
      <c r="K32" s="19">
        <v>0</v>
      </c>
      <c r="L32" s="1"/>
      <c r="M32" s="81" t="s">
        <v>53</v>
      </c>
      <c r="N32" s="79"/>
      <c r="O32" s="1"/>
      <c r="P32" s="1"/>
      <c r="Q32" s="1"/>
      <c r="R32" s="1"/>
      <c r="S32" s="16">
        <v>13</v>
      </c>
      <c r="T32" s="16"/>
      <c r="U32" s="16"/>
      <c r="V32" s="50"/>
      <c r="X32" s="16"/>
    </row>
    <row r="33" spans="1:24" x14ac:dyDescent="0.2">
      <c r="A33" s="5">
        <v>29</v>
      </c>
      <c r="B33" s="19">
        <v>0</v>
      </c>
      <c r="C33" s="19">
        <v>0</v>
      </c>
      <c r="D33" s="11" t="s">
        <v>21</v>
      </c>
      <c r="E33" s="5">
        <v>29</v>
      </c>
      <c r="F33" s="19">
        <v>18418</v>
      </c>
      <c r="G33" s="19">
        <v>10214</v>
      </c>
      <c r="H33" s="1"/>
      <c r="I33" s="5">
        <v>29</v>
      </c>
      <c r="J33" s="19">
        <v>1100</v>
      </c>
      <c r="K33" s="19">
        <v>0</v>
      </c>
      <c r="L33" s="1"/>
      <c r="M33" s="2" t="s">
        <v>39</v>
      </c>
      <c r="N33" s="3" t="s">
        <v>6</v>
      </c>
      <c r="O33" s="1"/>
      <c r="P33" s="1"/>
      <c r="Q33" s="1"/>
      <c r="R33" s="1"/>
      <c r="S33" s="16">
        <v>14</v>
      </c>
      <c r="T33" s="16"/>
      <c r="U33" s="16"/>
      <c r="V33" s="50"/>
      <c r="X33" s="16"/>
    </row>
    <row r="34" spans="1:24" x14ac:dyDescent="0.2">
      <c r="A34" s="5">
        <v>30</v>
      </c>
      <c r="B34" s="19">
        <v>4373</v>
      </c>
      <c r="C34" s="19">
        <v>1280</v>
      </c>
      <c r="D34" s="11"/>
      <c r="E34" s="5">
        <v>30</v>
      </c>
      <c r="F34" s="19">
        <v>16300</v>
      </c>
      <c r="G34" s="19">
        <v>12316</v>
      </c>
      <c r="H34" s="1"/>
      <c r="I34" s="5">
        <v>30</v>
      </c>
      <c r="J34" s="19">
        <v>4900</v>
      </c>
      <c r="K34" s="19">
        <v>0</v>
      </c>
      <c r="L34" s="1"/>
      <c r="M34" s="19" t="s">
        <v>96</v>
      </c>
      <c r="N34" s="19">
        <v>17000</v>
      </c>
      <c r="O34" s="11">
        <v>6000</v>
      </c>
      <c r="P34" s="1"/>
      <c r="Q34" s="1"/>
      <c r="R34" s="1"/>
      <c r="S34" s="16">
        <v>15</v>
      </c>
      <c r="T34" s="50"/>
      <c r="U34" s="50"/>
      <c r="V34" s="50"/>
      <c r="X34" s="16"/>
    </row>
    <row r="35" spans="1:24" x14ac:dyDescent="0.2">
      <c r="A35" s="12" t="s">
        <v>36</v>
      </c>
      <c r="B35" s="13">
        <f t="shared" ref="B35:C35" si="0">SUM(B5:B34)+B37</f>
        <v>83767</v>
      </c>
      <c r="C35" s="13">
        <f t="shared" si="0"/>
        <v>58591</v>
      </c>
      <c r="D35" s="1"/>
      <c r="E35" s="12" t="s">
        <v>36</v>
      </c>
      <c r="F35" s="13">
        <f t="shared" ref="F35:G35" si="1">SUM(F5:F34)+F37</f>
        <v>653864</v>
      </c>
      <c r="G35" s="13">
        <f t="shared" si="1"/>
        <v>376779</v>
      </c>
      <c r="H35" s="1"/>
      <c r="I35" s="12" t="s">
        <v>36</v>
      </c>
      <c r="J35" s="13">
        <f t="shared" ref="J35:K35" si="2">SUM(J5:J34)+J37</f>
        <v>279876</v>
      </c>
      <c r="K35" s="13">
        <f t="shared" si="2"/>
        <v>0</v>
      </c>
      <c r="L35" s="1"/>
      <c r="M35" s="19" t="s">
        <v>102</v>
      </c>
      <c r="N35" s="19">
        <v>15000</v>
      </c>
      <c r="O35" s="11">
        <v>5000</v>
      </c>
      <c r="P35" s="1"/>
      <c r="Q35" s="1"/>
      <c r="R35" s="1"/>
      <c r="S35" s="16">
        <v>16</v>
      </c>
      <c r="T35" s="16"/>
      <c r="U35" s="16"/>
      <c r="V35" s="50"/>
      <c r="X35" s="50"/>
    </row>
    <row r="36" spans="1:24" x14ac:dyDescent="0.2">
      <c r="A36" s="3" t="s">
        <v>56</v>
      </c>
      <c r="B36" s="82">
        <f>B35-C35</f>
        <v>25176</v>
      </c>
      <c r="C36" s="79"/>
      <c r="D36" s="1"/>
      <c r="E36" s="3" t="s">
        <v>56</v>
      </c>
      <c r="F36" s="82">
        <f>F35-G35</f>
        <v>277085</v>
      </c>
      <c r="G36" s="79"/>
      <c r="H36" s="1"/>
      <c r="I36" s="3" t="s">
        <v>56</v>
      </c>
      <c r="J36" s="82">
        <f>J35-K35</f>
        <v>279876</v>
      </c>
      <c r="K36" s="79"/>
      <c r="L36" s="1"/>
      <c r="M36" s="19" t="s">
        <v>112</v>
      </c>
      <c r="N36" s="19">
        <v>11500</v>
      </c>
      <c r="O36" s="11">
        <v>4000</v>
      </c>
      <c r="P36" s="1"/>
      <c r="Q36" s="1"/>
      <c r="R36" s="1"/>
      <c r="S36" s="16">
        <v>17</v>
      </c>
      <c r="T36" s="16"/>
      <c r="U36" s="50"/>
      <c r="V36" s="50"/>
      <c r="X36" s="16"/>
    </row>
    <row r="37" spans="1:24" x14ac:dyDescent="0.2">
      <c r="A37" s="5">
        <v>31</v>
      </c>
      <c r="B37" s="19">
        <v>4022</v>
      </c>
      <c r="C37" s="19">
        <v>3291</v>
      </c>
      <c r="D37" s="11"/>
      <c r="E37" s="5">
        <v>31</v>
      </c>
      <c r="F37" s="19">
        <v>40254</v>
      </c>
      <c r="G37" s="19">
        <v>15570</v>
      </c>
      <c r="H37" s="1"/>
      <c r="I37" s="5">
        <v>31</v>
      </c>
      <c r="J37" s="19">
        <v>2900</v>
      </c>
      <c r="K37" s="19">
        <v>0</v>
      </c>
      <c r="L37" s="11" t="s">
        <v>136</v>
      </c>
      <c r="M37" s="19" t="s">
        <v>125</v>
      </c>
      <c r="N37" s="19">
        <v>12000</v>
      </c>
      <c r="O37" s="11">
        <v>4000</v>
      </c>
      <c r="P37" s="1"/>
      <c r="Q37" s="1"/>
      <c r="R37" s="11"/>
      <c r="S37" s="16">
        <v>18</v>
      </c>
      <c r="T37" s="16"/>
      <c r="U37" s="16"/>
      <c r="V37" s="50"/>
      <c r="X37" s="16"/>
    </row>
    <row r="38" spans="1:2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4" t="s">
        <v>134</v>
      </c>
      <c r="N38" s="54">
        <v>11000</v>
      </c>
      <c r="O38" s="11">
        <v>4000</v>
      </c>
      <c r="P38" s="1">
        <f>C47-C48-Z17-N26-N27</f>
        <v>582137</v>
      </c>
      <c r="Q38" s="1"/>
      <c r="R38" s="1"/>
      <c r="S38" s="16">
        <v>19</v>
      </c>
      <c r="T38" s="16"/>
      <c r="U38" s="16"/>
      <c r="V38" s="50"/>
      <c r="X38" s="16"/>
    </row>
    <row r="39" spans="1:2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9"/>
      <c r="N39" s="19"/>
      <c r="O39" s="1">
        <f>SUM(O4:O38)</f>
        <v>63000</v>
      </c>
      <c r="P39" s="1"/>
      <c r="Q39" s="1"/>
      <c r="R39" s="1"/>
      <c r="S39" s="16">
        <v>20</v>
      </c>
      <c r="T39" s="50"/>
      <c r="U39" s="16"/>
      <c r="V39" s="50"/>
      <c r="X39" s="16"/>
    </row>
    <row r="40" spans="1:2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"/>
      <c r="N40" s="4"/>
      <c r="O40" s="1"/>
      <c r="P40" s="1"/>
      <c r="Q40" s="1"/>
      <c r="R40" s="1"/>
      <c r="S40" s="16">
        <v>21</v>
      </c>
      <c r="T40" s="50"/>
      <c r="U40" s="50"/>
      <c r="V40" s="50"/>
      <c r="X40" s="16"/>
    </row>
    <row r="41" spans="1:24" x14ac:dyDescent="0.2">
      <c r="A41" s="1"/>
      <c r="B41" s="1"/>
      <c r="C41" s="1"/>
      <c r="D41" s="1"/>
      <c r="E41" s="1"/>
      <c r="F41" s="1"/>
      <c r="G41" s="83" t="s">
        <v>130</v>
      </c>
      <c r="H41" s="79"/>
      <c r="I41" s="1"/>
      <c r="J41" s="1"/>
      <c r="K41" s="1"/>
      <c r="L41" s="1"/>
      <c r="M41" s="4"/>
      <c r="N41" s="4"/>
      <c r="O41" s="1"/>
      <c r="P41" s="1"/>
      <c r="Q41" s="1"/>
      <c r="R41" s="1"/>
      <c r="S41" s="16">
        <v>22</v>
      </c>
      <c r="T41" s="50"/>
      <c r="U41" s="50"/>
      <c r="V41" s="50"/>
      <c r="X41" s="16"/>
    </row>
    <row r="42" spans="1:24" x14ac:dyDescent="0.2">
      <c r="A42" s="1"/>
      <c r="B42" s="1"/>
      <c r="C42" s="1"/>
      <c r="D42" s="1"/>
      <c r="E42" s="1"/>
      <c r="F42" s="1"/>
      <c r="G42" s="19" t="s">
        <v>106</v>
      </c>
      <c r="H42" s="19" t="s">
        <v>131</v>
      </c>
      <c r="I42" s="1"/>
      <c r="J42" s="1"/>
      <c r="K42" s="1"/>
      <c r="L42" s="1"/>
      <c r="M42" s="4"/>
      <c r="N42" s="4"/>
      <c r="O42" s="1"/>
      <c r="P42" s="1"/>
      <c r="Q42" s="1"/>
      <c r="R42" s="1"/>
      <c r="S42" s="16">
        <v>23</v>
      </c>
      <c r="T42" s="50"/>
      <c r="U42" s="16"/>
      <c r="V42" s="50"/>
      <c r="X42" s="16"/>
    </row>
    <row r="43" spans="1:24" x14ac:dyDescent="0.2">
      <c r="A43" s="1"/>
      <c r="B43" s="1"/>
      <c r="C43" s="1"/>
      <c r="D43" s="1"/>
      <c r="E43" s="1"/>
      <c r="F43" s="1"/>
      <c r="G43" s="62">
        <v>44777</v>
      </c>
      <c r="H43" s="19">
        <v>500</v>
      </c>
      <c r="I43" s="1"/>
      <c r="J43" s="1"/>
      <c r="K43" s="1"/>
      <c r="L43" s="1"/>
      <c r="M43" s="4"/>
      <c r="N43" s="4"/>
      <c r="O43" s="1"/>
      <c r="P43" s="1"/>
      <c r="Q43" s="1"/>
      <c r="R43" s="1"/>
      <c r="S43" s="16">
        <v>24</v>
      </c>
      <c r="T43" s="50"/>
      <c r="U43" s="50"/>
      <c r="V43" s="50"/>
      <c r="X43" s="16"/>
    </row>
    <row r="44" spans="1:24" x14ac:dyDescent="0.2">
      <c r="A44" s="1"/>
      <c r="B44" s="1"/>
      <c r="C44" s="1"/>
      <c r="D44" s="1"/>
      <c r="E44" s="1"/>
      <c r="F44" s="1"/>
      <c r="G44" s="62"/>
      <c r="H44" s="19"/>
      <c r="I44" s="1"/>
      <c r="J44" s="1"/>
      <c r="K44" s="1"/>
      <c r="L44" s="1"/>
      <c r="M44" s="4"/>
      <c r="N44" s="4"/>
      <c r="O44" s="1"/>
      <c r="P44" s="1"/>
      <c r="Q44" s="1"/>
      <c r="R44" s="1"/>
      <c r="S44" s="16">
        <v>25</v>
      </c>
      <c r="T44" s="16"/>
      <c r="U44" s="16"/>
      <c r="V44" s="50"/>
      <c r="X44" s="16"/>
    </row>
    <row r="45" spans="1:24" x14ac:dyDescent="0.2">
      <c r="A45" s="1"/>
      <c r="B45" s="1"/>
      <c r="C45" s="1"/>
      <c r="D45" s="1"/>
      <c r="E45" s="1"/>
      <c r="F45" s="1"/>
      <c r="G45" s="62"/>
      <c r="H45" s="19"/>
      <c r="I45" s="1"/>
      <c r="J45" s="1"/>
      <c r="K45" s="1"/>
      <c r="L45" s="1"/>
      <c r="M45" s="4"/>
      <c r="N45" s="4"/>
      <c r="O45" s="1"/>
      <c r="P45" s="1"/>
      <c r="Q45" s="1"/>
      <c r="R45" s="1"/>
      <c r="S45" s="16">
        <v>26</v>
      </c>
      <c r="T45" s="16"/>
      <c r="U45" s="16"/>
      <c r="V45" s="50"/>
      <c r="X45" s="50"/>
    </row>
    <row r="46" spans="1:24" x14ac:dyDescent="0.2">
      <c r="A46" s="1"/>
      <c r="B46" s="1"/>
      <c r="C46" s="1"/>
      <c r="D46" s="1"/>
      <c r="E46" s="1"/>
      <c r="F46" s="1"/>
      <c r="G46" s="62"/>
      <c r="H46" s="19"/>
      <c r="I46" s="1"/>
      <c r="J46" s="1"/>
      <c r="K46" s="1"/>
      <c r="L46" s="1"/>
      <c r="M46" s="4"/>
      <c r="N46" s="4"/>
      <c r="O46" s="1"/>
      <c r="P46" s="1"/>
      <c r="Q46" s="1"/>
      <c r="R46" s="1"/>
      <c r="S46" s="16">
        <v>27</v>
      </c>
      <c r="T46" s="16"/>
      <c r="U46" s="16"/>
      <c r="V46" s="50"/>
      <c r="X46" s="16"/>
    </row>
    <row r="47" spans="1:24" x14ac:dyDescent="0.2">
      <c r="A47" s="1"/>
      <c r="B47" s="1"/>
      <c r="C47" s="1">
        <f>(B35+F35+J35)</f>
        <v>1017507</v>
      </c>
      <c r="D47" s="1"/>
      <c r="E47" s="1"/>
      <c r="F47" s="1"/>
      <c r="G47" s="62"/>
      <c r="H47" s="19"/>
      <c r="I47" s="1"/>
      <c r="J47" s="1"/>
      <c r="K47" s="1"/>
      <c r="L47" s="1"/>
      <c r="M47" s="4"/>
      <c r="N47" s="4"/>
      <c r="O47" s="1"/>
      <c r="P47" s="1"/>
      <c r="Q47" s="1"/>
      <c r="R47" s="1"/>
      <c r="S47" s="16">
        <v>28</v>
      </c>
      <c r="T47" s="50"/>
      <c r="U47" s="16"/>
      <c r="V47" s="50"/>
      <c r="X47" s="16"/>
    </row>
    <row r="48" spans="1:24" x14ac:dyDescent="0.2">
      <c r="A48" s="1"/>
      <c r="B48" s="1"/>
      <c r="C48" s="42">
        <f>C35+G35</f>
        <v>435370</v>
      </c>
      <c r="D48" s="1"/>
      <c r="E48" s="1"/>
      <c r="F48" s="1"/>
      <c r="G48" s="62"/>
      <c r="H48" s="19"/>
      <c r="I48" s="1"/>
      <c r="J48" s="1"/>
      <c r="K48" s="1"/>
      <c r="L48" s="1"/>
      <c r="M48" s="4"/>
      <c r="N48" s="4"/>
      <c r="O48" s="1"/>
      <c r="P48" s="11">
        <v>105100</v>
      </c>
      <c r="Q48" s="1"/>
      <c r="R48" s="1"/>
      <c r="S48" s="16">
        <v>29</v>
      </c>
      <c r="T48" s="16"/>
      <c r="U48" s="50"/>
      <c r="V48" s="50"/>
      <c r="X48" s="16"/>
    </row>
    <row r="49" spans="1:24" x14ac:dyDescent="0.2">
      <c r="A49" s="1"/>
      <c r="B49" s="1"/>
      <c r="C49" s="1">
        <f>C48/C47</f>
        <v>0.42787912024192465</v>
      </c>
      <c r="D49" s="1"/>
      <c r="E49" s="1"/>
      <c r="F49" s="1"/>
      <c r="G49" s="62"/>
      <c r="H49" s="19"/>
      <c r="I49" s="1"/>
      <c r="J49" s="1"/>
      <c r="K49" s="1"/>
      <c r="L49" s="1"/>
      <c r="M49" s="4"/>
      <c r="N49" s="4"/>
      <c r="O49" s="1"/>
      <c r="P49" s="1"/>
      <c r="Q49" s="1"/>
      <c r="R49" s="1"/>
      <c r="S49" s="16">
        <v>30</v>
      </c>
      <c r="T49" s="16"/>
      <c r="U49" s="16"/>
      <c r="V49" s="50"/>
      <c r="X49" s="16"/>
    </row>
    <row r="50" spans="1:24" x14ac:dyDescent="0.2">
      <c r="A50" s="1"/>
      <c r="B50" s="1"/>
      <c r="C50" s="1"/>
      <c r="D50" s="1"/>
      <c r="E50" s="1"/>
      <c r="F50" s="1"/>
      <c r="G50" s="21"/>
      <c r="H50" s="19"/>
      <c r="I50" s="1"/>
      <c r="J50" s="1"/>
      <c r="K50" s="1"/>
      <c r="L50" s="1"/>
      <c r="M50" s="4"/>
      <c r="N50" s="4"/>
      <c r="O50" s="1"/>
      <c r="P50" s="1"/>
      <c r="Q50" s="1"/>
      <c r="R50" s="1"/>
      <c r="S50" s="58" t="s">
        <v>116</v>
      </c>
      <c r="T50" s="59">
        <f t="shared" ref="T50:V50" si="3">SUM(T20:T49)</f>
        <v>0</v>
      </c>
      <c r="U50" s="59">
        <f t="shared" si="3"/>
        <v>0</v>
      </c>
      <c r="V50" s="59">
        <f t="shared" si="3"/>
        <v>0</v>
      </c>
      <c r="X50" s="50"/>
    </row>
    <row r="51" spans="1:24" x14ac:dyDescent="0.2">
      <c r="A51" s="1"/>
      <c r="B51" s="1"/>
      <c r="C51" s="1"/>
      <c r="D51" s="1"/>
      <c r="E51" s="1"/>
      <c r="F51" s="1"/>
      <c r="G51" s="4"/>
      <c r="H51" s="4"/>
      <c r="I51" s="1"/>
      <c r="J51" s="1"/>
      <c r="K51" s="1"/>
      <c r="L51" s="1"/>
      <c r="M51" s="4"/>
      <c r="N51" s="4"/>
      <c r="O51" s="1"/>
      <c r="P51" s="1"/>
      <c r="Q51" s="1"/>
      <c r="R51" s="1"/>
      <c r="X51" s="42">
        <f>SUM(X20:X50)</f>
        <v>0</v>
      </c>
    </row>
    <row r="52" spans="1:2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4"/>
      <c r="O52" s="1"/>
      <c r="P52" s="1"/>
      <c r="Q52" s="1"/>
      <c r="R52" s="1"/>
    </row>
    <row r="53" spans="1:2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4"/>
      <c r="O53" s="1"/>
      <c r="P53" s="1"/>
      <c r="Q53" s="1"/>
      <c r="R53" s="1"/>
    </row>
    <row r="54" spans="1:2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4"/>
      <c r="O54" s="1"/>
      <c r="P54" s="1"/>
      <c r="Q54" s="1"/>
      <c r="R54" s="1"/>
    </row>
    <row r="55" spans="1:2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 t="s">
        <v>36</v>
      </c>
      <c r="N55" s="5">
        <f>SUM(N34:N54)</f>
        <v>66500</v>
      </c>
      <c r="O55" s="1"/>
      <c r="P55" s="1"/>
      <c r="Q55" s="1"/>
      <c r="R55" s="1"/>
      <c r="S55" s="1"/>
      <c r="T55" s="1"/>
    </row>
  </sheetData>
  <mergeCells count="14">
    <mergeCell ref="G41:H41"/>
    <mergeCell ref="A1:P1"/>
    <mergeCell ref="M2:N2"/>
    <mergeCell ref="A3:C3"/>
    <mergeCell ref="E3:G3"/>
    <mergeCell ref="I3:K3"/>
    <mergeCell ref="P4:R4"/>
    <mergeCell ref="M17:N17"/>
    <mergeCell ref="P17:Q17"/>
    <mergeCell ref="S18:V18"/>
    <mergeCell ref="M32:N32"/>
    <mergeCell ref="B36:C36"/>
    <mergeCell ref="F36:G36"/>
    <mergeCell ref="J36:K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X55"/>
  <sheetViews>
    <sheetView workbookViewId="0">
      <selection activeCell="N15" sqref="N15"/>
    </sheetView>
  </sheetViews>
  <sheetFormatPr defaultColWidth="12.5703125" defaultRowHeight="15.75" customHeight="1" x14ac:dyDescent="0.2"/>
  <cols>
    <col min="1" max="1" width="7.42578125" customWidth="1"/>
    <col min="2" max="2" width="6.42578125" customWidth="1"/>
    <col min="3" max="3" width="6.5703125" customWidth="1"/>
    <col min="4" max="4" width="4.7109375" customWidth="1"/>
    <col min="5" max="5" width="5.7109375" customWidth="1"/>
    <col min="6" max="6" width="6.42578125" customWidth="1"/>
    <col min="7" max="7" width="6.5703125" customWidth="1"/>
    <col min="8" max="8" width="5.140625" customWidth="1"/>
    <col min="9" max="9" width="6" customWidth="1"/>
    <col min="10" max="10" width="6.42578125" customWidth="1"/>
    <col min="11" max="11" width="6.5703125" customWidth="1"/>
    <col min="12" max="12" width="5.140625" customWidth="1"/>
    <col min="13" max="13" width="11.140625" customWidth="1"/>
    <col min="14" max="14" width="6.7109375" customWidth="1"/>
    <col min="15" max="15" width="5.5703125" customWidth="1"/>
    <col min="16" max="16" width="11.7109375" customWidth="1"/>
    <col min="17" max="17" width="7.140625" customWidth="1"/>
    <col min="18" max="18" width="3.140625" customWidth="1"/>
    <col min="19" max="19" width="5.85546875" customWidth="1"/>
    <col min="20" max="21" width="4.42578125" customWidth="1"/>
    <col min="22" max="22" width="4.140625" customWidth="1"/>
    <col min="23" max="23" width="4.5703125" customWidth="1"/>
    <col min="24" max="24" width="3.5703125" customWidth="1"/>
  </cols>
  <sheetData>
    <row r="1" spans="1:24" ht="12.75" x14ac:dyDescent="0.2">
      <c r="A1" s="80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79"/>
      <c r="Q1" s="1"/>
      <c r="R1" s="1"/>
    </row>
    <row r="2" spans="1:24" ht="12.7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5" t="s">
        <v>1</v>
      </c>
      <c r="N2" s="79"/>
      <c r="O2" s="1"/>
      <c r="P2" s="1"/>
      <c r="Q2" s="1"/>
      <c r="R2" s="1"/>
    </row>
    <row r="3" spans="1:24" ht="12.75" x14ac:dyDescent="0.2">
      <c r="A3" s="86" t="s">
        <v>2</v>
      </c>
      <c r="B3" s="84"/>
      <c r="C3" s="79"/>
      <c r="D3" s="1"/>
      <c r="E3" s="87" t="s">
        <v>3</v>
      </c>
      <c r="F3" s="84"/>
      <c r="G3" s="79"/>
      <c r="H3" s="1"/>
      <c r="I3" s="88" t="s">
        <v>4</v>
      </c>
      <c r="J3" s="84"/>
      <c r="K3" s="79"/>
      <c r="L3" s="1"/>
      <c r="M3" s="2" t="s">
        <v>5</v>
      </c>
      <c r="N3" s="3" t="s">
        <v>6</v>
      </c>
      <c r="O3" s="1"/>
      <c r="P3" s="1"/>
      <c r="Q3" s="1"/>
      <c r="R3" s="1"/>
    </row>
    <row r="4" spans="1:24" ht="12.75" x14ac:dyDescent="0.2">
      <c r="A4" s="4" t="s">
        <v>7</v>
      </c>
      <c r="B4" s="4" t="s">
        <v>8</v>
      </c>
      <c r="C4" s="4" t="s">
        <v>9</v>
      </c>
      <c r="D4" s="1"/>
      <c r="E4" s="4" t="s">
        <v>7</v>
      </c>
      <c r="F4" s="4" t="s">
        <v>8</v>
      </c>
      <c r="G4" s="4" t="s">
        <v>9</v>
      </c>
      <c r="H4" s="1"/>
      <c r="I4" s="4" t="s">
        <v>7</v>
      </c>
      <c r="J4" s="4" t="s">
        <v>8</v>
      </c>
      <c r="K4" s="4" t="s">
        <v>9</v>
      </c>
      <c r="L4" s="1"/>
      <c r="M4" s="16" t="s">
        <v>69</v>
      </c>
      <c r="N4" s="16">
        <v>17100</v>
      </c>
      <c r="O4" s="11">
        <v>6000</v>
      </c>
      <c r="P4" s="1"/>
      <c r="Q4" s="1"/>
      <c r="R4" s="1"/>
      <c r="T4" s="1"/>
      <c r="U4" s="1"/>
      <c r="V4" s="1"/>
      <c r="X4" s="1"/>
    </row>
    <row r="5" spans="1:24" ht="12.75" x14ac:dyDescent="0.2">
      <c r="A5" s="5">
        <v>1</v>
      </c>
      <c r="B5" s="20">
        <v>2710</v>
      </c>
      <c r="C5" s="20">
        <v>1605</v>
      </c>
      <c r="D5" s="11"/>
      <c r="E5" s="5">
        <v>1</v>
      </c>
      <c r="F5" s="20">
        <v>18981</v>
      </c>
      <c r="G5" s="20">
        <v>13469</v>
      </c>
      <c r="H5" s="7"/>
      <c r="I5" s="5">
        <v>1</v>
      </c>
      <c r="J5" s="20">
        <v>1000</v>
      </c>
      <c r="K5" s="20">
        <v>0</v>
      </c>
      <c r="L5" s="1"/>
      <c r="M5" s="4" t="s">
        <v>12</v>
      </c>
      <c r="N5" s="20">
        <v>18000</v>
      </c>
      <c r="O5" s="11">
        <v>6000</v>
      </c>
      <c r="P5" s="1"/>
      <c r="Q5" s="1"/>
      <c r="R5" s="1"/>
      <c r="T5" s="1"/>
      <c r="U5" s="1"/>
      <c r="V5" s="1"/>
      <c r="X5" s="1"/>
    </row>
    <row r="6" spans="1:24" ht="12.75" x14ac:dyDescent="0.2">
      <c r="A6" s="5">
        <v>2</v>
      </c>
      <c r="B6" s="20">
        <v>3670</v>
      </c>
      <c r="C6" s="20">
        <v>2574</v>
      </c>
      <c r="D6" s="29"/>
      <c r="E6" s="5">
        <v>2</v>
      </c>
      <c r="F6" s="20">
        <v>19308</v>
      </c>
      <c r="G6" s="20">
        <v>20330</v>
      </c>
      <c r="H6" s="7"/>
      <c r="I6" s="5">
        <v>2</v>
      </c>
      <c r="J6" s="20">
        <v>27500</v>
      </c>
      <c r="K6" s="20">
        <v>0</v>
      </c>
      <c r="L6" s="11" t="s">
        <v>135</v>
      </c>
      <c r="M6" s="4" t="s">
        <v>15</v>
      </c>
      <c r="N6" s="20">
        <v>14500</v>
      </c>
      <c r="O6" s="11">
        <v>5000</v>
      </c>
      <c r="P6" s="1"/>
      <c r="Q6" s="1"/>
      <c r="R6" s="1"/>
      <c r="T6" s="61"/>
      <c r="U6" s="11"/>
      <c r="V6" s="29"/>
      <c r="X6" s="61"/>
    </row>
    <row r="7" spans="1:24" ht="12.75" x14ac:dyDescent="0.2">
      <c r="A7" s="5">
        <v>3</v>
      </c>
      <c r="B7" s="20">
        <v>560</v>
      </c>
      <c r="C7" s="20">
        <v>0</v>
      </c>
      <c r="D7" s="7"/>
      <c r="E7" s="5">
        <v>3</v>
      </c>
      <c r="F7" s="20">
        <v>18483</v>
      </c>
      <c r="G7" s="20">
        <v>11135</v>
      </c>
      <c r="H7" s="7"/>
      <c r="I7" s="5">
        <v>3</v>
      </c>
      <c r="J7" s="20">
        <v>1400</v>
      </c>
      <c r="K7" s="20">
        <v>0</v>
      </c>
      <c r="L7" s="11"/>
      <c r="M7" s="4" t="s">
        <v>19</v>
      </c>
      <c r="N7" s="20">
        <v>13000</v>
      </c>
      <c r="O7" s="11">
        <v>4000</v>
      </c>
      <c r="P7" s="1"/>
      <c r="Q7" s="1"/>
      <c r="R7" s="1"/>
      <c r="T7" s="28"/>
      <c r="U7" s="11"/>
      <c r="V7" s="11"/>
      <c r="X7" s="61"/>
    </row>
    <row r="8" spans="1:24" ht="12.75" x14ac:dyDescent="0.2">
      <c r="A8" s="5">
        <v>4</v>
      </c>
      <c r="B8" s="19">
        <v>4205</v>
      </c>
      <c r="C8" s="19">
        <v>3594</v>
      </c>
      <c r="D8" s="11"/>
      <c r="E8" s="5">
        <v>4</v>
      </c>
      <c r="F8" s="19">
        <v>30337</v>
      </c>
      <c r="G8" s="19">
        <v>12478</v>
      </c>
      <c r="H8" s="11"/>
      <c r="I8" s="5">
        <v>4</v>
      </c>
      <c r="J8" s="19">
        <v>2700</v>
      </c>
      <c r="K8" s="19">
        <v>0</v>
      </c>
      <c r="L8" s="1"/>
      <c r="M8" s="4" t="s">
        <v>22</v>
      </c>
      <c r="N8" s="20">
        <v>13000</v>
      </c>
      <c r="O8" s="11">
        <v>4000</v>
      </c>
      <c r="P8" s="1"/>
      <c r="Q8" s="1"/>
      <c r="R8" s="1"/>
      <c r="T8" s="28"/>
      <c r="U8" s="11"/>
      <c r="V8" s="11"/>
      <c r="X8" s="28"/>
    </row>
    <row r="9" spans="1:24" ht="12.75" x14ac:dyDescent="0.2">
      <c r="A9" s="5">
        <v>5</v>
      </c>
      <c r="B9" s="19">
        <v>0</v>
      </c>
      <c r="C9" s="19">
        <v>0</v>
      </c>
      <c r="D9" s="11" t="s">
        <v>21</v>
      </c>
      <c r="E9" s="5">
        <v>5</v>
      </c>
      <c r="F9" s="19">
        <v>25379</v>
      </c>
      <c r="G9" s="19">
        <v>9970</v>
      </c>
      <c r="H9" s="11"/>
      <c r="I9" s="5">
        <v>5</v>
      </c>
      <c r="J9" s="19">
        <v>7000</v>
      </c>
      <c r="K9" s="19">
        <v>0</v>
      </c>
      <c r="L9" s="1"/>
      <c r="M9" s="4" t="s">
        <v>24</v>
      </c>
      <c r="N9" s="20">
        <v>8000</v>
      </c>
      <c r="O9" s="11">
        <v>3000</v>
      </c>
      <c r="P9" s="1"/>
      <c r="Q9" s="1"/>
      <c r="R9" s="1"/>
      <c r="T9" s="28"/>
      <c r="U9" s="11"/>
      <c r="V9" s="11"/>
      <c r="X9" s="28"/>
    </row>
    <row r="10" spans="1:24" ht="12.75" x14ac:dyDescent="0.2">
      <c r="A10" s="5">
        <v>6</v>
      </c>
      <c r="B10" s="19">
        <v>3890</v>
      </c>
      <c r="C10" s="19">
        <v>2548</v>
      </c>
      <c r="D10" s="11"/>
      <c r="E10" s="5">
        <v>6</v>
      </c>
      <c r="F10" s="19">
        <v>9465</v>
      </c>
      <c r="G10" s="19">
        <v>6691</v>
      </c>
      <c r="H10" s="11"/>
      <c r="I10" s="5">
        <v>6</v>
      </c>
      <c r="J10" s="19">
        <v>2100</v>
      </c>
      <c r="K10" s="19">
        <v>0</v>
      </c>
      <c r="L10" s="1"/>
      <c r="M10" s="19" t="s">
        <v>137</v>
      </c>
      <c r="N10" s="20">
        <v>12000</v>
      </c>
      <c r="O10" s="11">
        <v>4000</v>
      </c>
      <c r="P10" s="1"/>
      <c r="Q10" s="1"/>
      <c r="R10" s="1"/>
      <c r="T10" s="28"/>
      <c r="U10" s="11"/>
      <c r="V10" s="11"/>
      <c r="X10" s="28"/>
    </row>
    <row r="11" spans="1:24" ht="12.75" x14ac:dyDescent="0.2">
      <c r="A11" s="5">
        <v>7</v>
      </c>
      <c r="B11" s="19">
        <v>3288</v>
      </c>
      <c r="C11" s="19">
        <v>2812</v>
      </c>
      <c r="D11" s="11"/>
      <c r="E11" s="5">
        <v>7</v>
      </c>
      <c r="F11" s="19">
        <v>12990</v>
      </c>
      <c r="G11" s="19">
        <v>10236</v>
      </c>
      <c r="H11" s="11"/>
      <c r="I11" s="5">
        <v>7</v>
      </c>
      <c r="J11" s="19">
        <v>1600</v>
      </c>
      <c r="K11" s="19">
        <v>0</v>
      </c>
      <c r="L11" s="11"/>
      <c r="M11" s="4" t="s">
        <v>29</v>
      </c>
      <c r="N11" s="20">
        <v>13000</v>
      </c>
      <c r="O11" s="40">
        <v>4000</v>
      </c>
      <c r="P11" s="1"/>
      <c r="Q11" s="1"/>
      <c r="R11" s="1"/>
      <c r="T11" s="28"/>
      <c r="U11" s="11"/>
      <c r="V11" s="11"/>
      <c r="X11" s="28"/>
    </row>
    <row r="12" spans="1:24" ht="12.75" x14ac:dyDescent="0.2">
      <c r="A12" s="5">
        <v>8</v>
      </c>
      <c r="B12" s="19">
        <v>5542</v>
      </c>
      <c r="C12" s="19">
        <v>3625</v>
      </c>
      <c r="D12" s="11"/>
      <c r="E12" s="5">
        <v>8</v>
      </c>
      <c r="F12" s="19">
        <v>13335</v>
      </c>
      <c r="G12" s="19">
        <v>14050</v>
      </c>
      <c r="H12" s="11"/>
      <c r="I12" s="5">
        <v>8</v>
      </c>
      <c r="J12" s="19">
        <v>9800</v>
      </c>
      <c r="K12" s="19">
        <v>0</v>
      </c>
      <c r="L12" s="11"/>
      <c r="M12" s="19" t="s">
        <v>74</v>
      </c>
      <c r="N12" s="20">
        <v>11000</v>
      </c>
      <c r="O12" s="11">
        <v>4000</v>
      </c>
      <c r="P12" s="1"/>
      <c r="Q12" s="1"/>
      <c r="R12" s="1"/>
      <c r="T12" s="28"/>
      <c r="U12" s="11"/>
      <c r="V12" s="11"/>
      <c r="X12" s="28"/>
    </row>
    <row r="13" spans="1:24" ht="12.75" x14ac:dyDescent="0.2">
      <c r="A13" s="5">
        <v>9</v>
      </c>
      <c r="B13" s="19">
        <v>3690</v>
      </c>
      <c r="C13" s="19">
        <v>1819</v>
      </c>
      <c r="D13" s="11"/>
      <c r="E13" s="5">
        <v>9</v>
      </c>
      <c r="F13" s="19">
        <v>21925</v>
      </c>
      <c r="G13" s="19">
        <v>6230</v>
      </c>
      <c r="H13" s="11"/>
      <c r="I13" s="5">
        <v>9</v>
      </c>
      <c r="J13" s="19">
        <v>8200</v>
      </c>
      <c r="K13" s="19">
        <v>0</v>
      </c>
      <c r="L13" s="11" t="s">
        <v>138</v>
      </c>
      <c r="M13" s="19" t="s">
        <v>87</v>
      </c>
      <c r="N13" s="19">
        <v>5600</v>
      </c>
      <c r="O13" s="11">
        <v>2000</v>
      </c>
      <c r="P13" s="1"/>
      <c r="Q13" s="1"/>
      <c r="R13" s="1"/>
      <c r="T13" s="28"/>
      <c r="U13" s="11"/>
      <c r="V13" s="11"/>
      <c r="X13" s="28"/>
    </row>
    <row r="14" spans="1:24" ht="12.75" x14ac:dyDescent="0.2">
      <c r="A14" s="5">
        <v>10</v>
      </c>
      <c r="B14" s="19">
        <v>3890</v>
      </c>
      <c r="C14" s="19">
        <v>1990</v>
      </c>
      <c r="D14" s="11"/>
      <c r="E14" s="5">
        <v>10</v>
      </c>
      <c r="F14" s="19">
        <v>18070</v>
      </c>
      <c r="G14" s="19">
        <v>10711</v>
      </c>
      <c r="H14" s="11"/>
      <c r="I14" s="5">
        <v>10</v>
      </c>
      <c r="J14" s="19">
        <v>800</v>
      </c>
      <c r="K14" s="19">
        <v>0</v>
      </c>
      <c r="L14" s="1"/>
      <c r="M14" s="19" t="s">
        <v>134</v>
      </c>
      <c r="N14" s="19">
        <v>11200</v>
      </c>
      <c r="O14" s="11">
        <v>4000</v>
      </c>
      <c r="P14" s="1"/>
      <c r="Q14" s="1"/>
      <c r="R14" s="1"/>
      <c r="T14" s="28"/>
      <c r="U14" s="11"/>
      <c r="V14" s="11"/>
      <c r="X14" s="28"/>
    </row>
    <row r="15" spans="1:24" ht="12.75" x14ac:dyDescent="0.2">
      <c r="A15" s="5">
        <v>11</v>
      </c>
      <c r="B15" s="19">
        <v>2450</v>
      </c>
      <c r="C15" s="19">
        <v>1935</v>
      </c>
      <c r="D15" s="11"/>
      <c r="E15" s="5">
        <v>11</v>
      </c>
      <c r="F15" s="19">
        <v>22280</v>
      </c>
      <c r="G15" s="19">
        <v>20770</v>
      </c>
      <c r="H15" s="11"/>
      <c r="I15" s="5">
        <v>11</v>
      </c>
      <c r="J15" s="19">
        <v>4400</v>
      </c>
      <c r="K15" s="19">
        <v>0</v>
      </c>
      <c r="L15" s="1"/>
      <c r="M15" s="12" t="s">
        <v>79</v>
      </c>
      <c r="N15" s="13">
        <f>SUM(N4:N14)</f>
        <v>136400</v>
      </c>
      <c r="O15" s="1"/>
      <c r="P15" s="1"/>
      <c r="Q15" s="1"/>
      <c r="R15" s="1"/>
      <c r="T15" s="28"/>
      <c r="U15" s="11"/>
      <c r="V15" s="11"/>
      <c r="X15" s="28"/>
    </row>
    <row r="16" spans="1:24" ht="12.75" x14ac:dyDescent="0.2">
      <c r="A16" s="5">
        <v>12</v>
      </c>
      <c r="B16" s="19">
        <v>0</v>
      </c>
      <c r="C16" s="19">
        <v>0</v>
      </c>
      <c r="D16" s="11"/>
      <c r="E16" s="5">
        <v>12</v>
      </c>
      <c r="F16" s="19">
        <v>15006</v>
      </c>
      <c r="G16" s="19">
        <v>9053</v>
      </c>
      <c r="H16" s="11"/>
      <c r="I16" s="5">
        <v>12</v>
      </c>
      <c r="J16" s="19">
        <v>2900</v>
      </c>
      <c r="K16" s="19">
        <v>0</v>
      </c>
      <c r="L16" s="1"/>
      <c r="M16" s="25"/>
      <c r="N16" s="6"/>
      <c r="O16" s="1"/>
      <c r="P16" s="1"/>
      <c r="Q16" s="1"/>
      <c r="R16" s="1"/>
    </row>
    <row r="17" spans="1:24" ht="12.75" x14ac:dyDescent="0.2">
      <c r="A17" s="5">
        <v>13</v>
      </c>
      <c r="B17" s="19">
        <v>4410</v>
      </c>
      <c r="C17" s="19">
        <v>0</v>
      </c>
      <c r="D17" s="11"/>
      <c r="E17" s="5">
        <v>13</v>
      </c>
      <c r="F17" s="19">
        <v>10290</v>
      </c>
      <c r="G17" s="19">
        <v>8330</v>
      </c>
      <c r="H17" s="11"/>
      <c r="I17" s="5">
        <v>13</v>
      </c>
      <c r="J17" s="19">
        <v>17400</v>
      </c>
      <c r="K17" s="19">
        <v>0</v>
      </c>
      <c r="L17" s="1"/>
      <c r="M17" s="78" t="s">
        <v>37</v>
      </c>
      <c r="N17" s="79"/>
      <c r="O17" s="1"/>
      <c r="P17" s="80" t="s">
        <v>38</v>
      </c>
      <c r="Q17" s="79"/>
      <c r="R17" s="1"/>
    </row>
    <row r="18" spans="1:24" ht="12.75" x14ac:dyDescent="0.2">
      <c r="A18" s="5">
        <v>14</v>
      </c>
      <c r="B18" s="19">
        <v>4500</v>
      </c>
      <c r="C18" s="19">
        <v>3137</v>
      </c>
      <c r="D18" s="11"/>
      <c r="E18" s="5">
        <v>14</v>
      </c>
      <c r="F18" s="19">
        <v>20280</v>
      </c>
      <c r="G18" s="19">
        <v>5169</v>
      </c>
      <c r="H18" s="11"/>
      <c r="I18" s="5">
        <v>14</v>
      </c>
      <c r="J18" s="19">
        <v>1100</v>
      </c>
      <c r="K18" s="19">
        <v>0</v>
      </c>
      <c r="L18" s="1"/>
      <c r="M18" s="2" t="s">
        <v>39</v>
      </c>
      <c r="N18" s="3" t="s">
        <v>6</v>
      </c>
      <c r="O18" s="1"/>
      <c r="P18" s="2" t="s">
        <v>5</v>
      </c>
      <c r="Q18" s="3" t="s">
        <v>6</v>
      </c>
      <c r="R18" s="1"/>
      <c r="S18" s="89" t="s">
        <v>105</v>
      </c>
      <c r="T18" s="84"/>
      <c r="U18" s="84"/>
      <c r="V18" s="79"/>
    </row>
    <row r="19" spans="1:24" ht="12.75" x14ac:dyDescent="0.2">
      <c r="A19" s="5">
        <v>15</v>
      </c>
      <c r="B19" s="19">
        <v>3035</v>
      </c>
      <c r="C19" s="19">
        <v>2207</v>
      </c>
      <c r="D19" s="11"/>
      <c r="E19" s="5">
        <v>15</v>
      </c>
      <c r="F19" s="19">
        <v>25675</v>
      </c>
      <c r="G19" s="19">
        <v>20126</v>
      </c>
      <c r="H19" s="11"/>
      <c r="I19" s="5">
        <v>15</v>
      </c>
      <c r="J19" s="19">
        <v>14100</v>
      </c>
      <c r="K19" s="19">
        <v>0</v>
      </c>
      <c r="L19" s="1"/>
      <c r="M19" s="4" t="s">
        <v>41</v>
      </c>
      <c r="N19" s="20">
        <v>50000</v>
      </c>
      <c r="O19" s="1"/>
      <c r="P19" s="4" t="s">
        <v>42</v>
      </c>
      <c r="Q19" s="5">
        <f>B35+F35+J35</f>
        <v>937838</v>
      </c>
      <c r="R19" s="1"/>
      <c r="S19" s="16" t="s">
        <v>106</v>
      </c>
      <c r="T19" s="16" t="s">
        <v>68</v>
      </c>
      <c r="U19" s="16" t="s">
        <v>107</v>
      </c>
      <c r="V19" s="16" t="s">
        <v>108</v>
      </c>
      <c r="X19" s="16" t="s">
        <v>109</v>
      </c>
    </row>
    <row r="20" spans="1:24" ht="12.75" x14ac:dyDescent="0.2">
      <c r="A20" s="5">
        <v>16</v>
      </c>
      <c r="B20" s="19">
        <v>5170</v>
      </c>
      <c r="C20" s="19">
        <v>3086</v>
      </c>
      <c r="D20" s="11"/>
      <c r="E20" s="5">
        <v>16</v>
      </c>
      <c r="F20" s="19">
        <v>20060</v>
      </c>
      <c r="G20" s="19">
        <v>7584</v>
      </c>
      <c r="H20" s="11"/>
      <c r="I20" s="5">
        <v>16</v>
      </c>
      <c r="J20" s="19">
        <v>1600</v>
      </c>
      <c r="K20" s="19">
        <v>0</v>
      </c>
      <c r="L20" s="11"/>
      <c r="M20" s="4" t="s">
        <v>43</v>
      </c>
      <c r="N20" s="19">
        <f>6408+31724</f>
        <v>38132</v>
      </c>
      <c r="O20" s="1"/>
      <c r="P20" s="4" t="s">
        <v>44</v>
      </c>
      <c r="Q20" s="5">
        <f>C35+G35+K35+N15+N30+N55</f>
        <v>720338</v>
      </c>
      <c r="R20" s="1"/>
      <c r="S20" s="16">
        <v>1</v>
      </c>
      <c r="T20" s="16"/>
      <c r="U20" s="50"/>
      <c r="V20" s="50"/>
      <c r="X20" s="16"/>
    </row>
    <row r="21" spans="1:24" ht="12.75" x14ac:dyDescent="0.2">
      <c r="A21" s="5">
        <v>17</v>
      </c>
      <c r="B21" s="19">
        <v>6838</v>
      </c>
      <c r="C21" s="19">
        <v>2600</v>
      </c>
      <c r="D21" s="11"/>
      <c r="E21" s="5">
        <v>17</v>
      </c>
      <c r="F21" s="19">
        <v>17208</v>
      </c>
      <c r="G21" s="19">
        <v>11024</v>
      </c>
      <c r="H21" s="11"/>
      <c r="I21" s="5">
        <v>17</v>
      </c>
      <c r="J21" s="19">
        <v>3200</v>
      </c>
      <c r="K21" s="19">
        <v>0</v>
      </c>
      <c r="L21" s="1"/>
      <c r="M21" s="4" t="s">
        <v>46</v>
      </c>
      <c r="N21" s="5">
        <v>2500</v>
      </c>
      <c r="O21" s="1"/>
      <c r="P21" s="26" t="s">
        <v>47</v>
      </c>
      <c r="Q21" s="27">
        <f>Q19-Q20</f>
        <v>217500</v>
      </c>
      <c r="R21" s="1"/>
      <c r="S21" s="16">
        <v>2</v>
      </c>
      <c r="T21" s="16"/>
      <c r="U21" s="16"/>
      <c r="V21" s="50"/>
      <c r="X21" s="16"/>
    </row>
    <row r="22" spans="1:24" ht="12.75" x14ac:dyDescent="0.2">
      <c r="A22" s="5">
        <v>18</v>
      </c>
      <c r="B22" s="19">
        <v>2310</v>
      </c>
      <c r="C22" s="19">
        <v>1763</v>
      </c>
      <c r="D22" s="11"/>
      <c r="E22" s="5">
        <v>18</v>
      </c>
      <c r="F22" s="19">
        <v>22397</v>
      </c>
      <c r="G22" s="19">
        <v>12811</v>
      </c>
      <c r="H22" s="11"/>
      <c r="I22" s="5">
        <v>18</v>
      </c>
      <c r="J22" s="19">
        <v>6400</v>
      </c>
      <c r="K22" s="19">
        <v>0</v>
      </c>
      <c r="L22" s="1"/>
      <c r="M22" s="4"/>
      <c r="N22" s="19"/>
      <c r="O22" s="1"/>
      <c r="P22" s="4" t="s">
        <v>49</v>
      </c>
      <c r="Q22" s="20">
        <v>35000</v>
      </c>
      <c r="R22" s="1"/>
      <c r="S22" s="16">
        <v>3</v>
      </c>
      <c r="T22" s="50"/>
      <c r="U22" s="16"/>
      <c r="V22" s="50"/>
      <c r="X22" s="16"/>
    </row>
    <row r="23" spans="1:24" ht="12.75" x14ac:dyDescent="0.2">
      <c r="A23" s="5">
        <v>19</v>
      </c>
      <c r="B23" s="19">
        <v>0</v>
      </c>
      <c r="C23" s="19">
        <v>0</v>
      </c>
      <c r="D23" s="11" t="s">
        <v>21</v>
      </c>
      <c r="E23" s="5">
        <v>19</v>
      </c>
      <c r="F23" s="19">
        <v>15040</v>
      </c>
      <c r="G23" s="19">
        <v>15013</v>
      </c>
      <c r="H23" s="11"/>
      <c r="I23" s="5">
        <v>19</v>
      </c>
      <c r="J23" s="19">
        <v>10100</v>
      </c>
      <c r="K23" s="19">
        <v>0</v>
      </c>
      <c r="L23" s="1"/>
      <c r="M23" s="4" t="s">
        <v>50</v>
      </c>
      <c r="N23" s="20">
        <v>2490</v>
      </c>
      <c r="O23" s="1"/>
      <c r="P23" s="11" t="s">
        <v>133</v>
      </c>
      <c r="Q23" s="1">
        <f>C35+G35+K35</f>
        <v>437616</v>
      </c>
      <c r="R23" s="1"/>
      <c r="S23" s="16">
        <v>4</v>
      </c>
      <c r="T23" s="16"/>
      <c r="U23" s="16"/>
      <c r="V23" s="50"/>
      <c r="X23" s="16"/>
    </row>
    <row r="24" spans="1:24" ht="12.75" x14ac:dyDescent="0.2">
      <c r="A24" s="5">
        <v>20</v>
      </c>
      <c r="B24" s="19">
        <v>2000</v>
      </c>
      <c r="C24" s="19">
        <v>1355</v>
      </c>
      <c r="D24" s="11"/>
      <c r="E24" s="5">
        <v>20</v>
      </c>
      <c r="F24" s="19">
        <v>11371</v>
      </c>
      <c r="G24" s="19">
        <v>12230</v>
      </c>
      <c r="H24" s="11"/>
      <c r="I24" s="5">
        <v>20</v>
      </c>
      <c r="J24" s="19">
        <v>14400</v>
      </c>
      <c r="K24" s="19">
        <v>0</v>
      </c>
      <c r="L24" s="1"/>
      <c r="M24" s="4" t="s">
        <v>51</v>
      </c>
      <c r="N24" s="20">
        <v>5000</v>
      </c>
      <c r="O24" s="1"/>
      <c r="P24" s="1"/>
      <c r="Q24" s="1"/>
      <c r="R24" s="1"/>
      <c r="S24" s="16">
        <v>5</v>
      </c>
      <c r="T24" s="16"/>
      <c r="U24" s="16"/>
      <c r="V24" s="50"/>
      <c r="X24" s="16"/>
    </row>
    <row r="25" spans="1:24" ht="12.75" x14ac:dyDescent="0.2">
      <c r="A25" s="5">
        <v>21</v>
      </c>
      <c r="B25" s="19">
        <v>3780</v>
      </c>
      <c r="C25" s="19">
        <v>3476</v>
      </c>
      <c r="D25" s="11"/>
      <c r="E25" s="5">
        <v>21</v>
      </c>
      <c r="F25" s="19">
        <v>15950</v>
      </c>
      <c r="G25" s="19">
        <v>7630</v>
      </c>
      <c r="H25" s="11"/>
      <c r="I25" s="5">
        <v>21</v>
      </c>
      <c r="J25" s="19">
        <v>1900</v>
      </c>
      <c r="K25" s="19">
        <v>0</v>
      </c>
      <c r="L25" s="11"/>
      <c r="M25" s="19" t="s">
        <v>89</v>
      </c>
      <c r="N25" s="4"/>
      <c r="O25" s="1"/>
      <c r="P25" s="1"/>
      <c r="Q25" s="1"/>
      <c r="R25" s="1"/>
      <c r="S25" s="16">
        <v>6</v>
      </c>
      <c r="T25" s="16"/>
      <c r="U25" s="16"/>
      <c r="V25" s="50"/>
      <c r="X25" s="16"/>
    </row>
    <row r="26" spans="1:24" ht="12.75" x14ac:dyDescent="0.2">
      <c r="A26" s="5">
        <v>22</v>
      </c>
      <c r="B26" s="19">
        <v>2980</v>
      </c>
      <c r="C26" s="19">
        <v>1290</v>
      </c>
      <c r="D26" s="11"/>
      <c r="E26" s="5">
        <v>22</v>
      </c>
      <c r="F26" s="19">
        <v>28399</v>
      </c>
      <c r="G26" s="19">
        <v>15004</v>
      </c>
      <c r="H26" s="11"/>
      <c r="I26" s="5">
        <v>22</v>
      </c>
      <c r="J26" s="19">
        <v>2400</v>
      </c>
      <c r="K26" s="19">
        <v>0</v>
      </c>
      <c r="L26" s="1"/>
      <c r="M26" s="19"/>
      <c r="N26" s="19"/>
      <c r="O26" s="1"/>
      <c r="P26" s="1"/>
      <c r="Q26" s="1"/>
      <c r="R26" s="1"/>
      <c r="S26" s="16">
        <v>7</v>
      </c>
      <c r="T26" s="50"/>
      <c r="U26" s="16"/>
      <c r="V26" s="50"/>
      <c r="X26" s="16"/>
    </row>
    <row r="27" spans="1:24" ht="15.75" customHeight="1" x14ac:dyDescent="0.4">
      <c r="A27" s="5">
        <v>23</v>
      </c>
      <c r="B27" s="19">
        <v>2671</v>
      </c>
      <c r="C27" s="19">
        <v>2026</v>
      </c>
      <c r="D27" s="11"/>
      <c r="E27" s="5">
        <v>23</v>
      </c>
      <c r="F27" s="19">
        <v>14610</v>
      </c>
      <c r="G27" s="19">
        <v>6469</v>
      </c>
      <c r="H27" s="11"/>
      <c r="I27" s="5">
        <v>23</v>
      </c>
      <c r="J27" s="19">
        <v>6500</v>
      </c>
      <c r="K27" s="19">
        <v>0</v>
      </c>
      <c r="L27" s="1"/>
      <c r="M27" s="19"/>
      <c r="N27" s="19"/>
      <c r="O27" s="1"/>
      <c r="P27" s="19" t="s">
        <v>139</v>
      </c>
      <c r="Q27" s="63">
        <f>(N15+N55)-Z17</f>
        <v>184600</v>
      </c>
      <c r="R27" s="1"/>
      <c r="S27" s="16">
        <v>8</v>
      </c>
      <c r="T27" s="50"/>
      <c r="U27" s="16"/>
      <c r="V27" s="50"/>
      <c r="X27" s="16"/>
    </row>
    <row r="28" spans="1:24" ht="15.75" customHeight="1" x14ac:dyDescent="0.4">
      <c r="A28" s="5">
        <v>24</v>
      </c>
      <c r="B28" s="19">
        <v>2886</v>
      </c>
      <c r="C28" s="19">
        <v>1855</v>
      </c>
      <c r="D28" s="11"/>
      <c r="E28" s="5">
        <v>24</v>
      </c>
      <c r="F28" s="19">
        <v>38714</v>
      </c>
      <c r="G28" s="19">
        <v>15140</v>
      </c>
      <c r="H28" s="11"/>
      <c r="I28" s="5">
        <v>24</v>
      </c>
      <c r="J28" s="19">
        <v>17600</v>
      </c>
      <c r="K28" s="19">
        <v>0</v>
      </c>
      <c r="L28" s="1"/>
      <c r="M28" s="4"/>
      <c r="N28" s="4"/>
      <c r="O28" s="1"/>
      <c r="P28" s="19" t="s">
        <v>140</v>
      </c>
      <c r="Q28" s="64">
        <f>SUM(O4:O38)</f>
        <v>61000</v>
      </c>
      <c r="R28" s="1"/>
      <c r="S28" s="16">
        <v>9</v>
      </c>
      <c r="T28" s="16"/>
      <c r="U28" s="16"/>
      <c r="V28" s="50"/>
      <c r="X28" s="16"/>
    </row>
    <row r="29" spans="1:24" ht="12.75" x14ac:dyDescent="0.2">
      <c r="A29" s="5">
        <v>25</v>
      </c>
      <c r="B29" s="19">
        <v>3600</v>
      </c>
      <c r="C29" s="19">
        <v>2374</v>
      </c>
      <c r="D29" s="11"/>
      <c r="E29" s="5">
        <v>25</v>
      </c>
      <c r="F29" s="19">
        <v>35785</v>
      </c>
      <c r="G29" s="19">
        <v>8361</v>
      </c>
      <c r="H29" s="11"/>
      <c r="I29" s="5">
        <v>25</v>
      </c>
      <c r="J29" s="19">
        <v>5400</v>
      </c>
      <c r="K29" s="19">
        <v>0</v>
      </c>
      <c r="L29" s="1"/>
      <c r="M29" s="4"/>
      <c r="N29" s="4"/>
      <c r="O29" s="1"/>
      <c r="P29" s="19" t="s">
        <v>141</v>
      </c>
      <c r="Q29" s="4">
        <f>Q27-Q28</f>
        <v>123600</v>
      </c>
      <c r="R29" s="1"/>
      <c r="S29" s="16">
        <v>10</v>
      </c>
      <c r="T29" s="50"/>
      <c r="U29" s="50"/>
      <c r="V29" s="50"/>
      <c r="X29" s="16"/>
    </row>
    <row r="30" spans="1:24" ht="12.75" x14ac:dyDescent="0.2">
      <c r="A30" s="5">
        <v>26</v>
      </c>
      <c r="B30" s="19">
        <v>0</v>
      </c>
      <c r="C30" s="19">
        <v>0</v>
      </c>
      <c r="D30" s="11" t="s">
        <v>21</v>
      </c>
      <c r="E30" s="5">
        <v>26</v>
      </c>
      <c r="F30" s="19">
        <v>18866</v>
      </c>
      <c r="G30" s="19">
        <v>9514</v>
      </c>
      <c r="H30" s="11"/>
      <c r="I30" s="5">
        <v>26</v>
      </c>
      <c r="J30" s="19">
        <v>12000</v>
      </c>
      <c r="K30" s="19">
        <v>0</v>
      </c>
      <c r="L30" s="1"/>
      <c r="M30" s="12" t="s">
        <v>36</v>
      </c>
      <c r="N30" s="13">
        <f>SUM(N19:N29)</f>
        <v>98122</v>
      </c>
      <c r="O30" s="1"/>
      <c r="P30" s="1"/>
      <c r="Q30" s="11"/>
      <c r="R30" s="1"/>
      <c r="S30" s="16">
        <v>11</v>
      </c>
      <c r="T30" s="16"/>
      <c r="U30" s="16"/>
      <c r="V30" s="50"/>
      <c r="X30" s="16"/>
    </row>
    <row r="31" spans="1:24" ht="12.75" x14ac:dyDescent="0.2">
      <c r="A31" s="5">
        <v>27</v>
      </c>
      <c r="B31" s="19">
        <v>1660</v>
      </c>
      <c r="C31" s="19">
        <v>0</v>
      </c>
      <c r="D31" s="11"/>
      <c r="E31" s="5">
        <v>27</v>
      </c>
      <c r="F31" s="19">
        <v>18529</v>
      </c>
      <c r="G31" s="19">
        <v>32717</v>
      </c>
      <c r="H31" s="11"/>
      <c r="I31" s="5">
        <v>27</v>
      </c>
      <c r="J31" s="19">
        <v>31000</v>
      </c>
      <c r="K31" s="19">
        <v>0</v>
      </c>
      <c r="L31" s="1"/>
      <c r="M31" s="1"/>
      <c r="N31" s="1"/>
      <c r="O31" s="1"/>
      <c r="P31" s="1"/>
      <c r="Q31" s="1"/>
      <c r="R31" s="1"/>
      <c r="S31" s="16">
        <v>12</v>
      </c>
      <c r="T31" s="50"/>
      <c r="U31" s="50"/>
      <c r="V31" s="50"/>
      <c r="X31" s="16"/>
    </row>
    <row r="32" spans="1:24" ht="12.75" x14ac:dyDescent="0.2">
      <c r="A32" s="5">
        <v>28</v>
      </c>
      <c r="B32" s="19">
        <v>2082</v>
      </c>
      <c r="C32" s="19">
        <v>1573</v>
      </c>
      <c r="D32" s="11"/>
      <c r="E32" s="5">
        <v>28</v>
      </c>
      <c r="F32" s="19">
        <v>19475</v>
      </c>
      <c r="G32" s="19">
        <v>17247</v>
      </c>
      <c r="H32" s="1"/>
      <c r="I32" s="5">
        <v>28</v>
      </c>
      <c r="J32" s="19">
        <v>6100</v>
      </c>
      <c r="K32" s="19">
        <v>0</v>
      </c>
      <c r="L32" s="1"/>
      <c r="M32" s="81" t="s">
        <v>53</v>
      </c>
      <c r="N32" s="79"/>
      <c r="O32" s="1"/>
      <c r="P32" s="1"/>
      <c r="Q32" s="1"/>
      <c r="R32" s="1"/>
      <c r="S32" s="16">
        <v>13</v>
      </c>
      <c r="T32" s="16"/>
      <c r="U32" s="16"/>
      <c r="V32" s="50"/>
      <c r="X32" s="16"/>
    </row>
    <row r="33" spans="1:24" ht="12.75" x14ac:dyDescent="0.2">
      <c r="A33" s="5">
        <v>29</v>
      </c>
      <c r="B33" s="19">
        <v>5458</v>
      </c>
      <c r="C33" s="19">
        <v>3282</v>
      </c>
      <c r="D33" s="11"/>
      <c r="E33" s="5">
        <v>29</v>
      </c>
      <c r="F33" s="19">
        <v>31611</v>
      </c>
      <c r="G33" s="19">
        <v>13518</v>
      </c>
      <c r="H33" s="1"/>
      <c r="I33" s="5">
        <v>29</v>
      </c>
      <c r="J33" s="19">
        <v>7300</v>
      </c>
      <c r="K33" s="19">
        <v>0</v>
      </c>
      <c r="L33" s="1"/>
      <c r="M33" s="2" t="s">
        <v>39</v>
      </c>
      <c r="N33" s="3" t="s">
        <v>6</v>
      </c>
      <c r="O33" s="1"/>
      <c r="P33" s="1"/>
      <c r="Q33" s="1"/>
      <c r="R33" s="1"/>
      <c r="S33" s="16">
        <v>14</v>
      </c>
      <c r="T33" s="16"/>
      <c r="U33" s="16"/>
      <c r="V33" s="50"/>
      <c r="X33" s="16"/>
    </row>
    <row r="34" spans="1:24" ht="12.75" x14ac:dyDescent="0.2">
      <c r="A34" s="5">
        <v>30</v>
      </c>
      <c r="B34" s="19">
        <v>5528</v>
      </c>
      <c r="C34" s="19">
        <v>2860</v>
      </c>
      <c r="D34" s="11"/>
      <c r="E34" s="5">
        <v>30</v>
      </c>
      <c r="F34" s="19">
        <v>24416</v>
      </c>
      <c r="G34" s="19">
        <v>19220</v>
      </c>
      <c r="H34" s="1"/>
      <c r="I34" s="5">
        <v>30</v>
      </c>
      <c r="J34" s="19">
        <v>2900</v>
      </c>
      <c r="K34" s="19">
        <v>0</v>
      </c>
      <c r="L34" s="1"/>
      <c r="M34" s="19" t="s">
        <v>96</v>
      </c>
      <c r="N34" s="19">
        <v>17000</v>
      </c>
      <c r="O34" s="11">
        <v>6000</v>
      </c>
      <c r="P34" s="1"/>
      <c r="Q34" s="1"/>
      <c r="R34" s="1"/>
      <c r="S34" s="16">
        <v>15</v>
      </c>
      <c r="T34" s="50"/>
      <c r="U34" s="50"/>
      <c r="V34" s="50"/>
      <c r="X34" s="16"/>
    </row>
    <row r="35" spans="1:24" ht="12.75" x14ac:dyDescent="0.2">
      <c r="A35" s="12" t="s">
        <v>36</v>
      </c>
      <c r="B35" s="13">
        <f t="shared" ref="B35:C35" si="0">SUM(B5:B34)+B37</f>
        <v>92803</v>
      </c>
      <c r="C35" s="13">
        <f t="shared" si="0"/>
        <v>55386</v>
      </c>
      <c r="D35" s="1"/>
      <c r="E35" s="12" t="s">
        <v>36</v>
      </c>
      <c r="F35" s="13">
        <f t="shared" ref="F35:G35" si="1">SUM(F5:F34)+F37</f>
        <v>614235</v>
      </c>
      <c r="G35" s="13">
        <f t="shared" si="1"/>
        <v>382230</v>
      </c>
      <c r="H35" s="1"/>
      <c r="I35" s="12" t="s">
        <v>36</v>
      </c>
      <c r="J35" s="13">
        <f t="shared" ref="J35:K35" si="2">SUM(J5:J34)+J37</f>
        <v>230800</v>
      </c>
      <c r="K35" s="13">
        <f t="shared" si="2"/>
        <v>0</v>
      </c>
      <c r="L35" s="1"/>
      <c r="M35" s="19" t="s">
        <v>102</v>
      </c>
      <c r="N35" s="19">
        <v>15000</v>
      </c>
      <c r="O35" s="11">
        <v>5000</v>
      </c>
      <c r="P35" s="1"/>
      <c r="Q35" s="1"/>
      <c r="R35" s="1"/>
      <c r="S35" s="16">
        <v>16</v>
      </c>
      <c r="T35" s="16"/>
      <c r="U35" s="16"/>
      <c r="V35" s="50"/>
      <c r="X35" s="50"/>
    </row>
    <row r="36" spans="1:24" ht="12.75" x14ac:dyDescent="0.2">
      <c r="A36" s="3" t="s">
        <v>56</v>
      </c>
      <c r="B36" s="82">
        <f>B35-C35</f>
        <v>37417</v>
      </c>
      <c r="C36" s="79"/>
      <c r="D36" s="1"/>
      <c r="E36" s="3" t="s">
        <v>56</v>
      </c>
      <c r="F36" s="82">
        <f>F35-G35</f>
        <v>232005</v>
      </c>
      <c r="G36" s="79"/>
      <c r="H36" s="1"/>
      <c r="I36" s="3" t="s">
        <v>56</v>
      </c>
      <c r="J36" s="82">
        <f>J35-K35</f>
        <v>230800</v>
      </c>
      <c r="K36" s="79"/>
      <c r="M36" s="19" t="s">
        <v>112</v>
      </c>
      <c r="N36" s="19">
        <v>11100</v>
      </c>
      <c r="O36" s="11">
        <v>4000</v>
      </c>
      <c r="P36" s="1"/>
      <c r="Q36" s="1"/>
      <c r="R36" s="1"/>
      <c r="S36" s="16">
        <v>17</v>
      </c>
      <c r="T36" s="16"/>
      <c r="U36" s="50"/>
      <c r="V36" s="50"/>
      <c r="X36" s="16"/>
    </row>
    <row r="37" spans="1:24" ht="12.75" x14ac:dyDescent="0.2">
      <c r="A37" s="5">
        <v>31</v>
      </c>
      <c r="B37" s="19"/>
      <c r="C37" s="19"/>
      <c r="D37" s="11"/>
      <c r="E37" s="5">
        <v>31</v>
      </c>
      <c r="F37" s="19"/>
      <c r="G37" s="19"/>
      <c r="H37" s="1"/>
      <c r="I37" s="5">
        <v>31</v>
      </c>
      <c r="J37" s="19"/>
      <c r="K37" s="19"/>
      <c r="L37" s="60">
        <v>44817</v>
      </c>
      <c r="M37" s="19" t="s">
        <v>142</v>
      </c>
      <c r="N37" s="19">
        <v>5100</v>
      </c>
      <c r="O37" s="11"/>
      <c r="P37" s="1"/>
      <c r="Q37" s="1"/>
      <c r="R37" s="11"/>
      <c r="S37" s="16">
        <v>18</v>
      </c>
      <c r="T37" s="16"/>
      <c r="U37" s="16"/>
      <c r="V37" s="50"/>
      <c r="X37" s="16"/>
    </row>
    <row r="38" spans="1:24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4"/>
      <c r="N38" s="54"/>
      <c r="O38" s="11"/>
      <c r="P38" s="1">
        <f>C47-C48-Z17-N26-N27</f>
        <v>500222</v>
      </c>
      <c r="Q38" s="1"/>
      <c r="R38" s="1"/>
      <c r="S38" s="16">
        <v>19</v>
      </c>
      <c r="T38" s="16"/>
      <c r="U38" s="16"/>
      <c r="V38" s="50"/>
      <c r="X38" s="16"/>
    </row>
    <row r="39" spans="1:24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9"/>
      <c r="N39" s="19"/>
      <c r="O39" s="1">
        <f>SUM(O4:O38)</f>
        <v>61000</v>
      </c>
      <c r="P39" s="1"/>
      <c r="Q39" s="1"/>
      <c r="R39" s="1"/>
      <c r="S39" s="16">
        <v>20</v>
      </c>
      <c r="T39" s="50"/>
      <c r="U39" s="16"/>
      <c r="V39" s="50"/>
      <c r="X39" s="16"/>
    </row>
    <row r="40" spans="1:24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"/>
      <c r="N40" s="4"/>
      <c r="O40" s="1"/>
      <c r="P40" s="1"/>
      <c r="Q40" s="1"/>
      <c r="R40" s="1"/>
      <c r="S40" s="16">
        <v>21</v>
      </c>
      <c r="T40" s="50"/>
      <c r="U40" s="50"/>
      <c r="V40" s="50"/>
      <c r="X40" s="16"/>
    </row>
    <row r="41" spans="1:24" ht="12.75" x14ac:dyDescent="0.2">
      <c r="A41" s="1"/>
      <c r="B41" s="1"/>
      <c r="C41" s="1"/>
      <c r="D41" s="1"/>
      <c r="E41" s="1"/>
      <c r="F41" s="1"/>
      <c r="G41" s="83" t="s">
        <v>130</v>
      </c>
      <c r="H41" s="79"/>
      <c r="I41" s="1"/>
      <c r="J41" s="1"/>
      <c r="K41" s="1"/>
      <c r="L41" s="1"/>
      <c r="M41" s="4"/>
      <c r="N41" s="4"/>
      <c r="O41" s="1"/>
      <c r="P41" s="1"/>
      <c r="Q41" s="1"/>
      <c r="R41" s="1"/>
      <c r="S41" s="16">
        <v>22</v>
      </c>
      <c r="T41" s="50"/>
      <c r="U41" s="50"/>
      <c r="V41" s="50"/>
      <c r="X41" s="16"/>
    </row>
    <row r="42" spans="1:24" ht="12.75" x14ac:dyDescent="0.2">
      <c r="A42" s="1"/>
      <c r="B42" s="1"/>
      <c r="C42" s="1"/>
      <c r="D42" s="1"/>
      <c r="E42" s="1"/>
      <c r="F42" s="1"/>
      <c r="G42" s="19" t="s">
        <v>106</v>
      </c>
      <c r="H42" s="19" t="s">
        <v>131</v>
      </c>
      <c r="I42" s="1"/>
      <c r="J42" s="1"/>
      <c r="K42" s="1"/>
      <c r="L42" s="1"/>
      <c r="M42" s="4"/>
      <c r="N42" s="4"/>
      <c r="O42" s="1"/>
      <c r="P42" s="1"/>
      <c r="Q42" s="1"/>
      <c r="R42" s="1"/>
      <c r="S42" s="16">
        <v>23</v>
      </c>
      <c r="T42" s="50"/>
      <c r="U42" s="16"/>
      <c r="V42" s="50"/>
      <c r="X42" s="16"/>
    </row>
    <row r="43" spans="1:24" ht="12.75" x14ac:dyDescent="0.2">
      <c r="A43" s="1"/>
      <c r="B43" s="1"/>
      <c r="C43" s="1"/>
      <c r="D43" s="1"/>
      <c r="E43" s="1"/>
      <c r="F43" s="1"/>
      <c r="G43" s="62">
        <v>44806</v>
      </c>
      <c r="H43" s="19">
        <v>1000</v>
      </c>
      <c r="I43" s="1"/>
      <c r="J43" s="1"/>
      <c r="K43" s="1"/>
      <c r="L43" s="1"/>
      <c r="M43" s="4"/>
      <c r="N43" s="4"/>
      <c r="O43" s="1"/>
      <c r="P43" s="1"/>
      <c r="Q43" s="1"/>
      <c r="R43" s="1"/>
      <c r="S43" s="16">
        <v>24</v>
      </c>
      <c r="T43" s="50"/>
      <c r="U43" s="50"/>
      <c r="V43" s="50"/>
      <c r="X43" s="16"/>
    </row>
    <row r="44" spans="1:24" ht="12.75" x14ac:dyDescent="0.2">
      <c r="A44" s="1"/>
      <c r="B44" s="1"/>
      <c r="C44" s="1"/>
      <c r="D44" s="1"/>
      <c r="E44" s="1"/>
      <c r="F44" s="1"/>
      <c r="G44" s="62">
        <v>44811</v>
      </c>
      <c r="H44" s="19">
        <v>300</v>
      </c>
      <c r="I44" s="1"/>
      <c r="J44" s="1"/>
      <c r="K44" s="1"/>
      <c r="L44" s="1"/>
      <c r="M44" s="4"/>
      <c r="N44" s="4"/>
      <c r="O44" s="1"/>
      <c r="P44" s="1"/>
      <c r="Q44" s="1"/>
      <c r="R44" s="1"/>
      <c r="S44" s="16">
        <v>25</v>
      </c>
      <c r="T44" s="16"/>
      <c r="U44" s="16"/>
      <c r="V44" s="50"/>
      <c r="X44" s="16"/>
    </row>
    <row r="45" spans="1:24" ht="12.75" x14ac:dyDescent="0.2">
      <c r="A45" s="1"/>
      <c r="B45" s="1"/>
      <c r="C45" s="1"/>
      <c r="D45" s="1"/>
      <c r="E45" s="1"/>
      <c r="F45" s="1"/>
      <c r="G45" s="62"/>
      <c r="H45" s="19"/>
      <c r="I45" s="1"/>
      <c r="J45" s="1"/>
      <c r="K45" s="1"/>
      <c r="L45" s="1"/>
      <c r="M45" s="4"/>
      <c r="N45" s="4"/>
      <c r="O45" s="1"/>
      <c r="P45" s="1"/>
      <c r="Q45" s="1"/>
      <c r="R45" s="1"/>
      <c r="S45" s="16">
        <v>26</v>
      </c>
      <c r="T45" s="16"/>
      <c r="U45" s="16"/>
      <c r="V45" s="50"/>
      <c r="X45" s="50"/>
    </row>
    <row r="46" spans="1:24" ht="12.75" x14ac:dyDescent="0.2">
      <c r="A46" s="1"/>
      <c r="B46" s="1"/>
      <c r="C46" s="1"/>
      <c r="D46" s="1"/>
      <c r="E46" s="1"/>
      <c r="F46" s="1"/>
      <c r="G46" s="62"/>
      <c r="H46" s="19"/>
      <c r="I46" s="1"/>
      <c r="J46" s="1"/>
      <c r="K46" s="1"/>
      <c r="L46" s="1"/>
      <c r="M46" s="4"/>
      <c r="N46" s="4"/>
      <c r="O46" s="1"/>
      <c r="P46" s="1"/>
      <c r="Q46" s="1"/>
      <c r="R46" s="1"/>
      <c r="S46" s="16">
        <v>27</v>
      </c>
      <c r="T46" s="16"/>
      <c r="U46" s="16"/>
      <c r="V46" s="50"/>
      <c r="X46" s="16"/>
    </row>
    <row r="47" spans="1:24" ht="12.75" x14ac:dyDescent="0.2">
      <c r="A47" s="1"/>
      <c r="B47" s="1"/>
      <c r="C47" s="1">
        <f>(B35+F35+J35)</f>
        <v>937838</v>
      </c>
      <c r="D47" s="1"/>
      <c r="E47" s="1"/>
      <c r="F47" s="1"/>
      <c r="G47" s="62"/>
      <c r="H47" s="19"/>
      <c r="I47" s="1"/>
      <c r="J47" s="1"/>
      <c r="K47" s="1"/>
      <c r="L47" s="1"/>
      <c r="M47" s="4"/>
      <c r="N47" s="4"/>
      <c r="O47" s="1"/>
      <c r="P47" s="1"/>
      <c r="Q47" s="1"/>
      <c r="R47" s="1"/>
      <c r="S47" s="16">
        <v>28</v>
      </c>
      <c r="T47" s="50"/>
      <c r="U47" s="16"/>
      <c r="V47" s="50"/>
      <c r="X47" s="16"/>
    </row>
    <row r="48" spans="1:24" ht="12.75" x14ac:dyDescent="0.2">
      <c r="A48" s="1"/>
      <c r="B48" s="1"/>
      <c r="C48" s="42">
        <f>C35+G35</f>
        <v>437616</v>
      </c>
      <c r="D48" s="1"/>
      <c r="E48" s="1"/>
      <c r="F48" s="1"/>
      <c r="G48" s="62"/>
      <c r="H48" s="19"/>
      <c r="I48" s="1"/>
      <c r="J48" s="1"/>
      <c r="K48" s="1"/>
      <c r="L48" s="1"/>
      <c r="M48" s="4"/>
      <c r="N48" s="4"/>
      <c r="O48" s="1"/>
      <c r="P48" s="11">
        <v>105100</v>
      </c>
      <c r="Q48" s="1"/>
      <c r="R48" s="1"/>
      <c r="S48" s="16">
        <v>29</v>
      </c>
      <c r="T48" s="16"/>
      <c r="U48" s="50"/>
      <c r="V48" s="50"/>
      <c r="X48" s="16"/>
    </row>
    <row r="49" spans="1:24" ht="12.75" x14ac:dyDescent="0.2">
      <c r="A49" s="1"/>
      <c r="B49" s="1"/>
      <c r="C49" s="1">
        <f>C48/C47</f>
        <v>0.46662216715466848</v>
      </c>
      <c r="D49" s="1"/>
      <c r="E49" s="1"/>
      <c r="F49" s="1"/>
      <c r="G49" s="62"/>
      <c r="H49" s="19"/>
      <c r="I49" s="1"/>
      <c r="J49" s="1"/>
      <c r="K49" s="1"/>
      <c r="L49" s="1"/>
      <c r="M49" s="4"/>
      <c r="N49" s="4"/>
      <c r="O49" s="1"/>
      <c r="P49" s="1"/>
      <c r="Q49" s="1"/>
      <c r="R49" s="1"/>
      <c r="S49" s="16">
        <v>30</v>
      </c>
      <c r="T49" s="16"/>
      <c r="U49" s="16"/>
      <c r="V49" s="50"/>
      <c r="X49" s="16"/>
    </row>
    <row r="50" spans="1:24" ht="12.75" x14ac:dyDescent="0.2">
      <c r="A50" s="1"/>
      <c r="B50" s="1"/>
      <c r="C50" s="1"/>
      <c r="D50" s="1"/>
      <c r="E50" s="1"/>
      <c r="F50" s="1"/>
      <c r="G50" s="21"/>
      <c r="H50" s="19"/>
      <c r="I50" s="1"/>
      <c r="J50" s="1"/>
      <c r="K50" s="1"/>
      <c r="L50" s="1"/>
      <c r="M50" s="4"/>
      <c r="N50" s="4"/>
      <c r="O50" s="1"/>
      <c r="P50" s="1"/>
      <c r="Q50" s="1"/>
      <c r="R50" s="1"/>
      <c r="S50" s="58" t="s">
        <v>116</v>
      </c>
      <c r="T50" s="59">
        <f t="shared" ref="T50:V50" si="3">SUM(T20:T49)</f>
        <v>0</v>
      </c>
      <c r="U50" s="59">
        <f t="shared" si="3"/>
        <v>0</v>
      </c>
      <c r="V50" s="59">
        <f t="shared" si="3"/>
        <v>0</v>
      </c>
      <c r="X50" s="50"/>
    </row>
    <row r="51" spans="1:24" ht="12.75" x14ac:dyDescent="0.2">
      <c r="A51" s="1"/>
      <c r="B51" s="1"/>
      <c r="C51" s="1"/>
      <c r="D51" s="1"/>
      <c r="E51" s="1"/>
      <c r="F51" s="1"/>
      <c r="G51" s="4"/>
      <c r="H51" s="4"/>
      <c r="I51" s="1"/>
      <c r="J51" s="1"/>
      <c r="K51" s="1"/>
      <c r="L51" s="1"/>
      <c r="M51" s="4"/>
      <c r="N51" s="4"/>
      <c r="O51" s="1"/>
      <c r="P51" s="1"/>
      <c r="Q51" s="1"/>
      <c r="R51" s="1"/>
      <c r="X51" s="42">
        <f>SUM(X20:X50)</f>
        <v>0</v>
      </c>
    </row>
    <row r="52" spans="1:24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4"/>
      <c r="O52" s="1"/>
      <c r="P52" s="1"/>
      <c r="Q52" s="1"/>
      <c r="R52" s="1"/>
    </row>
    <row r="53" spans="1:24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4"/>
      <c r="O53" s="1"/>
      <c r="P53" s="1"/>
      <c r="Q53" s="1"/>
      <c r="R53" s="1"/>
    </row>
    <row r="54" spans="1:24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4"/>
      <c r="O54" s="1"/>
      <c r="P54" s="1"/>
      <c r="Q54" s="1"/>
      <c r="R54" s="1"/>
    </row>
    <row r="55" spans="1:24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 t="s">
        <v>36</v>
      </c>
      <c r="N55" s="5">
        <f>SUM(N34:N54)</f>
        <v>48200</v>
      </c>
      <c r="O55" s="1"/>
      <c r="P55" s="1"/>
      <c r="Q55" s="1"/>
      <c r="R55" s="1"/>
      <c r="S55" s="1"/>
      <c r="T55" s="1"/>
    </row>
  </sheetData>
  <mergeCells count="13">
    <mergeCell ref="S18:V18"/>
    <mergeCell ref="G41:H41"/>
    <mergeCell ref="A1:P1"/>
    <mergeCell ref="M2:N2"/>
    <mergeCell ref="A3:C3"/>
    <mergeCell ref="E3:G3"/>
    <mergeCell ref="I3:K3"/>
    <mergeCell ref="P17:Q17"/>
    <mergeCell ref="M17:N17"/>
    <mergeCell ref="M32:N32"/>
    <mergeCell ref="B36:C36"/>
    <mergeCell ref="F36:G36"/>
    <mergeCell ref="J36:K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X55"/>
  <sheetViews>
    <sheetView tabSelected="1" workbookViewId="0">
      <selection activeCell="R15" sqref="R15"/>
    </sheetView>
  </sheetViews>
  <sheetFormatPr defaultColWidth="12.5703125" defaultRowHeight="15.75" customHeight="1" x14ac:dyDescent="0.2"/>
  <cols>
    <col min="1" max="1" width="5.42578125" customWidth="1"/>
    <col min="2" max="2" width="6.42578125" customWidth="1"/>
    <col min="3" max="3" width="7" customWidth="1"/>
    <col min="4" max="4" width="2.85546875" customWidth="1"/>
    <col min="5" max="5" width="5.42578125" customWidth="1"/>
    <col min="6" max="6" width="6.42578125" customWidth="1"/>
    <col min="7" max="7" width="6.5703125" customWidth="1"/>
    <col min="8" max="8" width="4.140625" customWidth="1"/>
    <col min="9" max="10" width="6.42578125" customWidth="1"/>
    <col min="11" max="11" width="6.5703125" customWidth="1"/>
    <col min="12" max="12" width="7.42578125" customWidth="1"/>
    <col min="13" max="13" width="11.42578125" customWidth="1"/>
    <col min="14" max="14" width="13.5703125" customWidth="1"/>
    <col min="15" max="15" width="5.5703125" customWidth="1"/>
    <col min="16" max="16" width="11.5703125" customWidth="1"/>
    <col min="17" max="17" width="9.42578125" customWidth="1"/>
    <col min="18" max="18" width="7" customWidth="1"/>
    <col min="19" max="19" width="5.85546875" customWidth="1"/>
    <col min="20" max="20" width="5.42578125" customWidth="1"/>
    <col min="21" max="21" width="6.5703125" customWidth="1"/>
    <col min="22" max="22" width="5.28515625" customWidth="1"/>
    <col min="23" max="23" width="6.5703125" customWidth="1"/>
    <col min="24" max="24" width="3.5703125" customWidth="1"/>
  </cols>
  <sheetData>
    <row r="1" spans="1:24" ht="12.75" x14ac:dyDescent="0.2">
      <c r="A1" s="80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79"/>
      <c r="Q1" s="1"/>
      <c r="R1" s="1"/>
    </row>
    <row r="2" spans="1:24" ht="12.7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5" t="s">
        <v>1</v>
      </c>
      <c r="N2" s="79"/>
      <c r="O2" s="1"/>
      <c r="P2" s="1"/>
      <c r="Q2" s="1"/>
      <c r="R2" s="1"/>
    </row>
    <row r="3" spans="1:24" ht="12.75" x14ac:dyDescent="0.2">
      <c r="A3" s="86" t="s">
        <v>2</v>
      </c>
      <c r="B3" s="84"/>
      <c r="C3" s="79"/>
      <c r="D3" s="1"/>
      <c r="E3" s="87" t="s">
        <v>3</v>
      </c>
      <c r="F3" s="84"/>
      <c r="G3" s="79"/>
      <c r="H3" s="1"/>
      <c r="I3" s="88" t="s">
        <v>4</v>
      </c>
      <c r="J3" s="84"/>
      <c r="K3" s="79"/>
      <c r="L3" s="1"/>
      <c r="M3" s="2" t="s">
        <v>5</v>
      </c>
      <c r="N3" s="3" t="s">
        <v>6</v>
      </c>
      <c r="O3" s="1"/>
      <c r="P3" s="1"/>
      <c r="Q3" s="1"/>
      <c r="R3" s="1"/>
    </row>
    <row r="4" spans="1:24" ht="12.75" x14ac:dyDescent="0.2">
      <c r="A4" s="4" t="s">
        <v>7</v>
      </c>
      <c r="B4" s="4" t="s">
        <v>8</v>
      </c>
      <c r="C4" s="4" t="s">
        <v>9</v>
      </c>
      <c r="D4" s="1"/>
      <c r="E4" s="4" t="s">
        <v>7</v>
      </c>
      <c r="F4" s="4" t="s">
        <v>8</v>
      </c>
      <c r="G4" s="4" t="s">
        <v>9</v>
      </c>
      <c r="H4" s="1"/>
      <c r="I4" s="4" t="s">
        <v>7</v>
      </c>
      <c r="J4" s="4" t="s">
        <v>8</v>
      </c>
      <c r="K4" s="4" t="s">
        <v>9</v>
      </c>
      <c r="L4" s="1"/>
      <c r="M4" s="16" t="s">
        <v>69</v>
      </c>
      <c r="N4" s="16">
        <v>17000</v>
      </c>
      <c r="O4" s="11">
        <v>6000</v>
      </c>
      <c r="P4" s="1"/>
      <c r="Q4" s="1"/>
      <c r="R4" s="1"/>
      <c r="T4" s="1"/>
      <c r="U4" s="1"/>
      <c r="V4" s="1"/>
      <c r="X4" s="1"/>
    </row>
    <row r="5" spans="1:24" ht="12.75" x14ac:dyDescent="0.2">
      <c r="A5" s="5">
        <v>1</v>
      </c>
      <c r="B5" s="20">
        <v>2700</v>
      </c>
      <c r="C5" s="20">
        <v>2350</v>
      </c>
      <c r="D5" s="11"/>
      <c r="E5" s="5">
        <v>1</v>
      </c>
      <c r="F5" s="20">
        <v>36085</v>
      </c>
      <c r="G5" s="20">
        <v>19519</v>
      </c>
      <c r="H5" s="7"/>
      <c r="I5" s="5">
        <v>1</v>
      </c>
      <c r="J5" s="20">
        <v>27600</v>
      </c>
      <c r="K5" s="20">
        <v>0</v>
      </c>
      <c r="L5" s="1"/>
      <c r="M5" s="4" t="s">
        <v>12</v>
      </c>
      <c r="N5" s="20">
        <v>19000</v>
      </c>
      <c r="O5" s="11">
        <v>6000</v>
      </c>
      <c r="P5" s="1"/>
      <c r="Q5" s="1"/>
      <c r="R5" s="1"/>
      <c r="T5" s="1"/>
      <c r="U5" s="1"/>
      <c r="V5" s="1"/>
      <c r="X5" s="1"/>
    </row>
    <row r="6" spans="1:24" ht="12.75" x14ac:dyDescent="0.2">
      <c r="A6" s="5">
        <v>2</v>
      </c>
      <c r="B6" s="20">
        <v>4856</v>
      </c>
      <c r="C6" s="20">
        <v>2865</v>
      </c>
      <c r="D6" s="29"/>
      <c r="E6" s="5">
        <v>2</v>
      </c>
      <c r="F6" s="20">
        <v>45518</v>
      </c>
      <c r="G6" s="20">
        <v>16316</v>
      </c>
      <c r="H6" s="7"/>
      <c r="I6" s="5">
        <v>2</v>
      </c>
      <c r="J6" s="20">
        <v>1000</v>
      </c>
      <c r="K6" s="20">
        <v>0</v>
      </c>
      <c r="L6" s="11"/>
      <c r="M6" s="4" t="s">
        <v>15</v>
      </c>
      <c r="N6" s="20">
        <v>16000</v>
      </c>
      <c r="O6" s="11">
        <v>5000</v>
      </c>
      <c r="P6" s="1"/>
      <c r="Q6" s="1"/>
      <c r="R6" s="1"/>
      <c r="T6" s="61"/>
      <c r="U6" s="11"/>
      <c r="V6" s="29"/>
      <c r="X6" s="61"/>
    </row>
    <row r="7" spans="1:24" ht="12.75" x14ac:dyDescent="0.2">
      <c r="A7" s="5">
        <v>3</v>
      </c>
      <c r="B7" s="20">
        <v>0</v>
      </c>
      <c r="C7" s="20">
        <v>0</v>
      </c>
      <c r="D7" s="7"/>
      <c r="E7" s="5">
        <v>3</v>
      </c>
      <c r="F7" s="20">
        <v>16930</v>
      </c>
      <c r="G7" s="20">
        <v>12692</v>
      </c>
      <c r="H7" s="7"/>
      <c r="I7" s="5">
        <v>3</v>
      </c>
      <c r="J7" s="20">
        <v>6800</v>
      </c>
      <c r="K7" s="20">
        <v>0</v>
      </c>
      <c r="L7" s="11"/>
      <c r="M7" s="4" t="s">
        <v>19</v>
      </c>
      <c r="N7" s="20">
        <v>6500</v>
      </c>
      <c r="O7" s="11">
        <v>3000</v>
      </c>
      <c r="P7" s="1"/>
      <c r="Q7" s="1"/>
      <c r="R7" s="1"/>
      <c r="T7" s="28"/>
      <c r="U7" s="11"/>
      <c r="V7" s="11"/>
      <c r="X7" s="61"/>
    </row>
    <row r="8" spans="1:24" ht="12.75" x14ac:dyDescent="0.2">
      <c r="A8" s="5">
        <v>4</v>
      </c>
      <c r="B8" s="19">
        <v>5710</v>
      </c>
      <c r="C8" s="19">
        <v>4139</v>
      </c>
      <c r="D8" s="11"/>
      <c r="E8" s="5">
        <v>4</v>
      </c>
      <c r="F8" s="19">
        <v>19725</v>
      </c>
      <c r="G8" s="19">
        <v>15604</v>
      </c>
      <c r="H8" s="11"/>
      <c r="I8" s="5">
        <v>4</v>
      </c>
      <c r="J8" s="19">
        <v>19800</v>
      </c>
      <c r="K8" s="19">
        <v>0</v>
      </c>
      <c r="L8" s="1"/>
      <c r="M8" s="4" t="s">
        <v>22</v>
      </c>
      <c r="N8" s="20">
        <v>13000</v>
      </c>
      <c r="O8" s="11">
        <v>4000</v>
      </c>
      <c r="P8" s="1"/>
      <c r="Q8" s="1"/>
      <c r="R8" s="1"/>
      <c r="T8" s="28"/>
      <c r="U8" s="11"/>
      <c r="V8" s="11"/>
      <c r="X8" s="28"/>
    </row>
    <row r="9" spans="1:24" ht="12.75" x14ac:dyDescent="0.2">
      <c r="A9" s="5">
        <v>5</v>
      </c>
      <c r="B9" s="19">
        <v>1390</v>
      </c>
      <c r="C9" s="19">
        <v>1122</v>
      </c>
      <c r="D9" s="11"/>
      <c r="E9" s="5">
        <v>5</v>
      </c>
      <c r="F9" s="19">
        <v>21395</v>
      </c>
      <c r="G9" s="19">
        <v>8995</v>
      </c>
      <c r="H9" s="11"/>
      <c r="I9" s="5">
        <v>5</v>
      </c>
      <c r="J9" s="19">
        <v>1400</v>
      </c>
      <c r="K9" s="19">
        <v>0</v>
      </c>
      <c r="L9" s="1"/>
      <c r="M9" s="4" t="s">
        <v>24</v>
      </c>
      <c r="N9" s="20">
        <v>8000</v>
      </c>
      <c r="O9" s="11">
        <v>3000</v>
      </c>
      <c r="P9" s="1"/>
      <c r="Q9" s="1"/>
      <c r="R9" s="1"/>
      <c r="T9" s="28"/>
      <c r="U9" s="11"/>
      <c r="V9" s="11"/>
      <c r="X9" s="28"/>
    </row>
    <row r="10" spans="1:24" ht="12.75" x14ac:dyDescent="0.2">
      <c r="A10" s="5">
        <v>6</v>
      </c>
      <c r="B10" s="19">
        <v>550</v>
      </c>
      <c r="C10" s="19">
        <v>550</v>
      </c>
      <c r="D10" s="11"/>
      <c r="E10" s="5">
        <v>6</v>
      </c>
      <c r="F10" s="19">
        <v>24921</v>
      </c>
      <c r="G10" s="19">
        <v>18986</v>
      </c>
      <c r="H10" s="11"/>
      <c r="I10" s="5">
        <v>6</v>
      </c>
      <c r="J10" s="19">
        <v>2300</v>
      </c>
      <c r="K10" s="19">
        <v>0</v>
      </c>
      <c r="L10" s="11" t="s">
        <v>136</v>
      </c>
      <c r="M10" s="19" t="s">
        <v>143</v>
      </c>
      <c r="N10" s="20">
        <v>10800</v>
      </c>
      <c r="O10" s="11">
        <v>4000</v>
      </c>
      <c r="P10" s="1"/>
      <c r="Q10" s="1"/>
      <c r="R10" s="1"/>
      <c r="T10" s="28"/>
      <c r="U10" s="11"/>
      <c r="V10" s="11"/>
      <c r="X10" s="28"/>
    </row>
    <row r="11" spans="1:24" ht="12.75" x14ac:dyDescent="0.2">
      <c r="A11" s="5">
        <v>7</v>
      </c>
      <c r="B11" s="19">
        <v>9096</v>
      </c>
      <c r="C11" s="19">
        <v>5459</v>
      </c>
      <c r="D11" s="11"/>
      <c r="E11" s="5">
        <v>7</v>
      </c>
      <c r="F11" s="19">
        <v>26758</v>
      </c>
      <c r="G11" s="19">
        <v>7458</v>
      </c>
      <c r="H11" s="11"/>
      <c r="I11" s="5">
        <v>7</v>
      </c>
      <c r="J11" s="19">
        <v>11000</v>
      </c>
      <c r="K11" s="19">
        <v>0</v>
      </c>
      <c r="L11" s="11"/>
      <c r="M11" s="4" t="s">
        <v>29</v>
      </c>
      <c r="N11" s="20">
        <v>15000</v>
      </c>
      <c r="O11" s="40">
        <v>5000</v>
      </c>
      <c r="P11" s="1"/>
      <c r="Q11" s="1"/>
      <c r="R11" s="1"/>
      <c r="T11" s="28"/>
      <c r="U11" s="11"/>
      <c r="V11" s="11"/>
      <c r="X11" s="28"/>
    </row>
    <row r="12" spans="1:24" ht="12.75" x14ac:dyDescent="0.2">
      <c r="A12" s="5">
        <v>8</v>
      </c>
      <c r="B12" s="19">
        <v>3300</v>
      </c>
      <c r="C12" s="19">
        <v>2027</v>
      </c>
      <c r="D12" s="11"/>
      <c r="E12" s="5">
        <v>8</v>
      </c>
      <c r="F12" s="19">
        <v>34623</v>
      </c>
      <c r="G12" s="19">
        <v>25975</v>
      </c>
      <c r="H12" s="11"/>
      <c r="I12" s="5">
        <v>8</v>
      </c>
      <c r="J12" s="19">
        <v>1700</v>
      </c>
      <c r="K12" s="19">
        <v>0</v>
      </c>
      <c r="L12" s="11"/>
      <c r="M12" s="19" t="s">
        <v>74</v>
      </c>
      <c r="N12" s="20">
        <v>12000</v>
      </c>
      <c r="O12" s="11">
        <v>4000</v>
      </c>
      <c r="P12" s="1"/>
      <c r="Q12" s="1"/>
      <c r="R12" s="1"/>
      <c r="T12" s="28"/>
      <c r="U12" s="11"/>
      <c r="V12" s="11"/>
      <c r="X12" s="28"/>
    </row>
    <row r="13" spans="1:24" ht="12.75" x14ac:dyDescent="0.2">
      <c r="A13" s="5">
        <v>9</v>
      </c>
      <c r="B13" s="19">
        <v>1430</v>
      </c>
      <c r="C13" s="19">
        <v>330</v>
      </c>
      <c r="D13" s="11"/>
      <c r="E13" s="5">
        <v>9</v>
      </c>
      <c r="F13" s="19">
        <v>42026</v>
      </c>
      <c r="G13" s="19">
        <v>15848</v>
      </c>
      <c r="H13" s="11"/>
      <c r="I13" s="5">
        <v>9</v>
      </c>
      <c r="J13" s="19">
        <v>28800</v>
      </c>
      <c r="K13" s="19">
        <v>0</v>
      </c>
      <c r="L13" s="11"/>
      <c r="M13" s="19" t="s">
        <v>87</v>
      </c>
      <c r="N13" s="19">
        <v>12000</v>
      </c>
      <c r="O13" s="11">
        <v>4000</v>
      </c>
      <c r="P13" s="1"/>
      <c r="Q13" s="1"/>
      <c r="R13" s="1"/>
      <c r="T13" s="28"/>
      <c r="U13" s="11"/>
      <c r="V13" s="11"/>
      <c r="X13" s="28"/>
    </row>
    <row r="14" spans="1:24" ht="12.75" x14ac:dyDescent="0.2">
      <c r="A14" s="5">
        <v>10</v>
      </c>
      <c r="B14" s="19">
        <v>4597</v>
      </c>
      <c r="C14" s="19">
        <v>2957</v>
      </c>
      <c r="D14" s="11"/>
      <c r="E14" s="5">
        <v>10</v>
      </c>
      <c r="F14" s="19">
        <v>16150</v>
      </c>
      <c r="G14" s="19">
        <v>12258</v>
      </c>
      <c r="H14" s="11"/>
      <c r="I14" s="5">
        <v>10</v>
      </c>
      <c r="J14" s="19">
        <v>3400</v>
      </c>
      <c r="K14" s="19">
        <v>0</v>
      </c>
      <c r="L14" s="1"/>
      <c r="M14" s="19" t="s">
        <v>134</v>
      </c>
      <c r="N14" s="19">
        <v>13000</v>
      </c>
      <c r="O14" s="11">
        <v>4000</v>
      </c>
      <c r="P14" s="1"/>
      <c r="Q14" s="1"/>
      <c r="R14" s="1"/>
      <c r="T14" s="28"/>
      <c r="U14" s="11"/>
      <c r="V14" s="11"/>
      <c r="X14" s="28"/>
    </row>
    <row r="15" spans="1:24" ht="12.75" x14ac:dyDescent="0.2">
      <c r="A15" s="5">
        <v>11</v>
      </c>
      <c r="B15" s="19">
        <v>4597</v>
      </c>
      <c r="C15" s="19">
        <v>2957</v>
      </c>
      <c r="D15" s="11"/>
      <c r="E15" s="5">
        <v>11</v>
      </c>
      <c r="F15" s="19">
        <v>19523</v>
      </c>
      <c r="G15" s="19">
        <v>14181</v>
      </c>
      <c r="H15" s="11"/>
      <c r="I15" s="5">
        <v>11</v>
      </c>
      <c r="J15" s="19">
        <v>24000</v>
      </c>
      <c r="K15" s="19">
        <v>0</v>
      </c>
      <c r="L15" s="1"/>
      <c r="M15" s="12" t="s">
        <v>79</v>
      </c>
      <c r="N15" s="75">
        <f>SUM(N4:N14)</f>
        <v>142300</v>
      </c>
      <c r="O15" s="1"/>
      <c r="P15" s="1"/>
      <c r="Q15" s="1"/>
      <c r="R15" s="1"/>
      <c r="T15" s="28"/>
      <c r="U15" s="11"/>
      <c r="V15" s="11"/>
      <c r="X15" s="28"/>
    </row>
    <row r="16" spans="1:24" ht="12.75" x14ac:dyDescent="0.2">
      <c r="A16" s="5">
        <v>12</v>
      </c>
      <c r="B16" s="19">
        <v>1790</v>
      </c>
      <c r="C16" s="19">
        <v>368</v>
      </c>
      <c r="D16" s="11"/>
      <c r="E16" s="5">
        <v>12</v>
      </c>
      <c r="F16" s="19">
        <v>31510</v>
      </c>
      <c r="G16" s="19">
        <v>21805</v>
      </c>
      <c r="H16" s="11"/>
      <c r="I16" s="5">
        <v>12</v>
      </c>
      <c r="J16" s="19">
        <v>4100</v>
      </c>
      <c r="K16" s="19">
        <v>0</v>
      </c>
      <c r="L16" s="1"/>
      <c r="M16" s="25"/>
      <c r="N16" s="6"/>
      <c r="O16" s="1"/>
      <c r="P16" s="1"/>
      <c r="Q16" s="1"/>
      <c r="R16" s="1"/>
    </row>
    <row r="17" spans="1:24" ht="12.75" x14ac:dyDescent="0.2">
      <c r="A17" s="5">
        <v>13</v>
      </c>
      <c r="B17" s="19">
        <v>4732</v>
      </c>
      <c r="C17" s="19">
        <v>2400</v>
      </c>
      <c r="D17" s="11"/>
      <c r="E17" s="5">
        <v>13</v>
      </c>
      <c r="F17" s="19">
        <v>49440</v>
      </c>
      <c r="G17" s="19">
        <v>11995</v>
      </c>
      <c r="H17" s="11"/>
      <c r="I17" s="5">
        <v>13</v>
      </c>
      <c r="J17" s="19">
        <v>4400</v>
      </c>
      <c r="K17" s="19">
        <v>0</v>
      </c>
      <c r="L17" s="1"/>
      <c r="M17" s="78" t="s">
        <v>37</v>
      </c>
      <c r="N17" s="79"/>
      <c r="O17" s="1"/>
      <c r="P17" s="80" t="s">
        <v>38</v>
      </c>
      <c r="Q17" s="79"/>
      <c r="R17" s="1"/>
    </row>
    <row r="18" spans="1:24" ht="12.75" x14ac:dyDescent="0.2">
      <c r="A18" s="5">
        <v>14</v>
      </c>
      <c r="B18" s="19">
        <v>7500</v>
      </c>
      <c r="C18" s="19">
        <v>6510</v>
      </c>
      <c r="D18" s="11"/>
      <c r="E18" s="5">
        <v>14</v>
      </c>
      <c r="F18" s="19">
        <v>32421</v>
      </c>
      <c r="G18" s="19">
        <v>11630</v>
      </c>
      <c r="H18" s="11"/>
      <c r="I18" s="5">
        <v>14</v>
      </c>
      <c r="J18" s="19">
        <v>17000</v>
      </c>
      <c r="K18" s="19">
        <v>0</v>
      </c>
      <c r="L18" s="1"/>
      <c r="M18" s="2" t="s">
        <v>39</v>
      </c>
      <c r="N18" s="3" t="s">
        <v>6</v>
      </c>
      <c r="O18" s="1"/>
      <c r="P18" s="2" t="s">
        <v>5</v>
      </c>
      <c r="Q18" s="3" t="s">
        <v>6</v>
      </c>
      <c r="R18" s="1"/>
      <c r="S18" s="89" t="s">
        <v>105</v>
      </c>
      <c r="T18" s="84"/>
      <c r="U18" s="84"/>
      <c r="V18" s="79"/>
    </row>
    <row r="19" spans="1:24" ht="12.75" x14ac:dyDescent="0.2">
      <c r="A19" s="5">
        <v>15</v>
      </c>
      <c r="B19" s="19">
        <v>3700</v>
      </c>
      <c r="C19" s="19">
        <v>3684</v>
      </c>
      <c r="D19" s="11"/>
      <c r="E19" s="5">
        <v>15</v>
      </c>
      <c r="F19" s="19">
        <v>47920</v>
      </c>
      <c r="G19" s="19">
        <v>20203</v>
      </c>
      <c r="H19" s="11"/>
      <c r="I19" s="5">
        <v>15</v>
      </c>
      <c r="J19" s="19">
        <v>17000</v>
      </c>
      <c r="K19" s="19">
        <v>0</v>
      </c>
      <c r="L19" s="1"/>
      <c r="M19" s="4" t="s">
        <v>41</v>
      </c>
      <c r="N19" s="20">
        <v>50000</v>
      </c>
      <c r="O19" s="1"/>
      <c r="P19" s="4" t="s">
        <v>42</v>
      </c>
      <c r="Q19" s="5">
        <f>B35+F35+J35</f>
        <v>1415366</v>
      </c>
      <c r="R19" s="1"/>
      <c r="S19" s="16" t="s">
        <v>106</v>
      </c>
      <c r="T19" s="16" t="s">
        <v>68</v>
      </c>
      <c r="U19" s="16" t="s">
        <v>107</v>
      </c>
      <c r="V19" s="16" t="s">
        <v>108</v>
      </c>
      <c r="X19" s="16" t="s">
        <v>109</v>
      </c>
    </row>
    <row r="20" spans="1:24" ht="12.75" x14ac:dyDescent="0.2">
      <c r="A20" s="5">
        <v>16</v>
      </c>
      <c r="B20" s="19">
        <v>3030</v>
      </c>
      <c r="C20" s="19">
        <v>0</v>
      </c>
      <c r="D20" s="11"/>
      <c r="E20" s="5">
        <v>16</v>
      </c>
      <c r="F20" s="19">
        <v>51358</v>
      </c>
      <c r="G20" s="19">
        <v>34134</v>
      </c>
      <c r="H20" s="11"/>
      <c r="I20" s="5">
        <v>16</v>
      </c>
      <c r="J20" s="19">
        <v>8400</v>
      </c>
      <c r="K20" s="19">
        <v>0</v>
      </c>
      <c r="L20" s="11"/>
      <c r="M20" s="4" t="s">
        <v>43</v>
      </c>
      <c r="N20" s="19">
        <f>7074+41843</f>
        <v>48917</v>
      </c>
      <c r="O20" s="1"/>
      <c r="P20" s="4" t="s">
        <v>44</v>
      </c>
      <c r="Q20" s="5">
        <f>C35+G35+K35+N15+N30+N55</f>
        <v>905100</v>
      </c>
      <c r="R20" s="1"/>
      <c r="S20" s="16">
        <v>1</v>
      </c>
      <c r="T20" s="16"/>
      <c r="U20" s="50"/>
      <c r="V20" s="50"/>
      <c r="X20" s="16"/>
    </row>
    <row r="21" spans="1:24" ht="12.75" x14ac:dyDescent="0.2">
      <c r="A21" s="5">
        <v>17</v>
      </c>
      <c r="B21" s="19">
        <v>0</v>
      </c>
      <c r="C21" s="19">
        <v>0</v>
      </c>
      <c r="D21" s="11"/>
      <c r="E21" s="5">
        <v>17</v>
      </c>
      <c r="F21" s="19">
        <v>14765</v>
      </c>
      <c r="G21" s="19">
        <v>8890</v>
      </c>
      <c r="H21" s="11"/>
      <c r="I21" s="5">
        <v>17</v>
      </c>
      <c r="J21" s="19">
        <v>3100</v>
      </c>
      <c r="K21" s="19">
        <v>0</v>
      </c>
      <c r="L21" s="1"/>
      <c r="M21" s="4" t="s">
        <v>46</v>
      </c>
      <c r="N21" s="20">
        <v>3500</v>
      </c>
      <c r="O21" s="1"/>
      <c r="P21" s="26" t="s">
        <v>47</v>
      </c>
      <c r="Q21" s="27">
        <f>Q19-Q20</f>
        <v>510266</v>
      </c>
      <c r="R21" s="1"/>
      <c r="S21" s="16">
        <v>2</v>
      </c>
      <c r="T21" s="16"/>
      <c r="U21" s="16"/>
      <c r="V21" s="50"/>
      <c r="X21" s="16"/>
    </row>
    <row r="22" spans="1:24" ht="12.75" x14ac:dyDescent="0.2">
      <c r="A22" s="5">
        <v>18</v>
      </c>
      <c r="B22" s="19">
        <v>2106</v>
      </c>
      <c r="C22" s="19">
        <v>990</v>
      </c>
      <c r="D22" s="11"/>
      <c r="E22" s="5">
        <v>18</v>
      </c>
      <c r="F22" s="19">
        <v>16450</v>
      </c>
      <c r="G22" s="19">
        <v>16795</v>
      </c>
      <c r="H22" s="11"/>
      <c r="I22" s="5">
        <v>18</v>
      </c>
      <c r="J22" s="19">
        <v>3800</v>
      </c>
      <c r="K22" s="19">
        <v>0</v>
      </c>
      <c r="L22" s="1"/>
      <c r="M22" s="4"/>
      <c r="N22" s="19"/>
      <c r="O22" s="1"/>
      <c r="P22" s="4" t="s">
        <v>49</v>
      </c>
      <c r="Q22" s="20">
        <v>35000</v>
      </c>
      <c r="R22" s="1"/>
      <c r="S22" s="16">
        <v>3</v>
      </c>
      <c r="T22" s="50"/>
      <c r="U22" s="16"/>
      <c r="V22" s="50"/>
      <c r="X22" s="16"/>
    </row>
    <row r="23" spans="1:24" ht="12.75" x14ac:dyDescent="0.2">
      <c r="A23" s="5">
        <v>19</v>
      </c>
      <c r="B23" s="65">
        <v>8510</v>
      </c>
      <c r="C23" s="66">
        <v>4800</v>
      </c>
      <c r="D23" s="11"/>
      <c r="E23" s="5">
        <v>19</v>
      </c>
      <c r="F23" s="19">
        <v>20019</v>
      </c>
      <c r="G23" s="19">
        <v>21123</v>
      </c>
      <c r="H23" s="11"/>
      <c r="I23" s="5">
        <v>19</v>
      </c>
      <c r="J23" s="19">
        <v>10600</v>
      </c>
      <c r="K23" s="19">
        <v>0</v>
      </c>
      <c r="L23" s="1"/>
      <c r="M23" s="4" t="s">
        <v>50</v>
      </c>
      <c r="N23" s="20">
        <v>2490</v>
      </c>
      <c r="O23" s="1"/>
      <c r="P23" s="11" t="s">
        <v>133</v>
      </c>
      <c r="Q23" s="1">
        <f>C35+G35+K35</f>
        <v>585893</v>
      </c>
      <c r="R23" s="1"/>
      <c r="S23" s="16">
        <v>4</v>
      </c>
      <c r="T23" s="16"/>
      <c r="U23" s="16"/>
      <c r="V23" s="50"/>
      <c r="X23" s="16"/>
    </row>
    <row r="24" spans="1:24" ht="12.75" x14ac:dyDescent="0.2">
      <c r="A24" s="5">
        <v>20</v>
      </c>
      <c r="B24" s="19">
        <v>4630</v>
      </c>
      <c r="C24" s="19">
        <v>3553</v>
      </c>
      <c r="D24" s="11"/>
      <c r="E24" s="5">
        <v>20</v>
      </c>
      <c r="F24" s="19">
        <v>36139</v>
      </c>
      <c r="G24" s="19">
        <v>9781</v>
      </c>
      <c r="H24" s="11"/>
      <c r="I24" s="5">
        <v>20</v>
      </c>
      <c r="J24" s="19">
        <v>5000</v>
      </c>
      <c r="K24" s="19">
        <v>0</v>
      </c>
      <c r="L24" s="1"/>
      <c r="M24" s="4" t="s">
        <v>51</v>
      </c>
      <c r="N24" s="20">
        <v>5000</v>
      </c>
      <c r="O24" s="1"/>
      <c r="P24" s="1"/>
      <c r="Q24" s="1"/>
      <c r="R24" s="1"/>
      <c r="S24" s="16">
        <v>5</v>
      </c>
      <c r="T24" s="16"/>
      <c r="U24" s="16"/>
      <c r="V24" s="50"/>
      <c r="X24" s="16"/>
    </row>
    <row r="25" spans="1:24" ht="12.75" x14ac:dyDescent="0.2">
      <c r="A25" s="5">
        <v>21</v>
      </c>
      <c r="B25" s="19">
        <v>2955</v>
      </c>
      <c r="C25" s="19">
        <v>2750</v>
      </c>
      <c r="D25" s="11"/>
      <c r="E25" s="5">
        <v>21</v>
      </c>
      <c r="F25" s="19">
        <v>24579</v>
      </c>
      <c r="G25" s="19">
        <v>16831</v>
      </c>
      <c r="H25" s="11"/>
      <c r="I25" s="5">
        <v>21</v>
      </c>
      <c r="J25" s="19">
        <v>7900</v>
      </c>
      <c r="K25" s="19">
        <v>0</v>
      </c>
      <c r="L25" s="11"/>
      <c r="M25" s="19" t="s">
        <v>89</v>
      </c>
      <c r="N25" s="4"/>
      <c r="O25" s="1"/>
      <c r="P25" s="1"/>
      <c r="Q25" s="1"/>
      <c r="R25" s="1"/>
      <c r="S25" s="16">
        <v>6</v>
      </c>
      <c r="T25" s="16"/>
      <c r="U25" s="16"/>
      <c r="V25" s="50"/>
      <c r="X25" s="16"/>
    </row>
    <row r="26" spans="1:24" ht="12.75" x14ac:dyDescent="0.2">
      <c r="A26" s="5">
        <v>22</v>
      </c>
      <c r="B26" s="19">
        <v>3692</v>
      </c>
      <c r="C26" s="19">
        <v>3692</v>
      </c>
      <c r="D26" s="11"/>
      <c r="E26" s="5">
        <v>22</v>
      </c>
      <c r="F26" s="19">
        <v>38540</v>
      </c>
      <c r="G26" s="19">
        <v>13605</v>
      </c>
      <c r="H26" s="11"/>
      <c r="I26" s="5">
        <v>22</v>
      </c>
      <c r="J26" s="19">
        <v>10900</v>
      </c>
      <c r="K26" s="19">
        <v>0</v>
      </c>
      <c r="L26" s="1"/>
      <c r="M26" s="19"/>
      <c r="N26" s="19"/>
      <c r="O26" s="1"/>
      <c r="P26" s="1"/>
      <c r="Q26" s="1"/>
      <c r="R26" s="1"/>
      <c r="S26" s="16">
        <v>7</v>
      </c>
      <c r="T26" s="50"/>
      <c r="U26" s="16"/>
      <c r="V26" s="50"/>
      <c r="X26" s="16"/>
    </row>
    <row r="27" spans="1:24" ht="15.75" customHeight="1" x14ac:dyDescent="0.4">
      <c r="A27" s="5">
        <v>23</v>
      </c>
      <c r="B27" s="19">
        <v>2440</v>
      </c>
      <c r="C27" s="19">
        <v>1745</v>
      </c>
      <c r="D27" s="11"/>
      <c r="E27" s="5">
        <v>23</v>
      </c>
      <c r="F27" s="19">
        <v>47490</v>
      </c>
      <c r="G27" s="19">
        <v>12089</v>
      </c>
      <c r="H27" s="11"/>
      <c r="I27" s="5">
        <v>23</v>
      </c>
      <c r="J27" s="19">
        <v>12300</v>
      </c>
      <c r="K27" s="19">
        <v>0</v>
      </c>
      <c r="L27" s="1"/>
      <c r="M27" s="19"/>
      <c r="N27" s="19"/>
      <c r="O27" s="1"/>
      <c r="P27" s="19" t="s">
        <v>139</v>
      </c>
      <c r="Q27" s="63">
        <f>(N15+N55)-Z17</f>
        <v>209300</v>
      </c>
      <c r="R27" s="1"/>
      <c r="S27" s="16">
        <v>8</v>
      </c>
      <c r="T27" s="50"/>
      <c r="U27" s="16"/>
      <c r="V27" s="50"/>
      <c r="X27" s="16"/>
    </row>
    <row r="28" spans="1:24" ht="15.75" customHeight="1" x14ac:dyDescent="0.4">
      <c r="A28" s="5">
        <v>24</v>
      </c>
      <c r="B28" s="19">
        <v>0</v>
      </c>
      <c r="C28" s="19">
        <v>0</v>
      </c>
      <c r="D28" s="11"/>
      <c r="E28" s="5">
        <v>24</v>
      </c>
      <c r="F28" s="19">
        <v>29375</v>
      </c>
      <c r="G28" s="19">
        <v>17239</v>
      </c>
      <c r="H28" s="11"/>
      <c r="I28" s="5">
        <v>24</v>
      </c>
      <c r="J28" s="19">
        <v>1500</v>
      </c>
      <c r="K28" s="19">
        <v>0</v>
      </c>
      <c r="L28" s="1"/>
      <c r="M28" s="4"/>
      <c r="N28" s="4"/>
      <c r="O28" s="1"/>
      <c r="P28" s="19" t="s">
        <v>140</v>
      </c>
      <c r="Q28" s="64">
        <f>SUM(O4:O38)</f>
        <v>70000</v>
      </c>
      <c r="R28" s="1"/>
      <c r="S28" s="16">
        <v>9</v>
      </c>
      <c r="T28" s="16"/>
      <c r="U28" s="16"/>
      <c r="V28" s="50"/>
      <c r="X28" s="16"/>
    </row>
    <row r="29" spans="1:24" ht="12.75" x14ac:dyDescent="0.2">
      <c r="A29" s="5">
        <v>25</v>
      </c>
      <c r="B29" s="19">
        <v>2006</v>
      </c>
      <c r="C29" s="19">
        <v>1569</v>
      </c>
      <c r="D29" s="11"/>
      <c r="E29" s="5">
        <v>25</v>
      </c>
      <c r="F29" s="19">
        <v>16715</v>
      </c>
      <c r="G29" s="19">
        <v>8068</v>
      </c>
      <c r="H29" s="11"/>
      <c r="I29" s="5">
        <v>25</v>
      </c>
      <c r="J29" s="19">
        <v>3600</v>
      </c>
      <c r="K29" s="19">
        <v>0</v>
      </c>
      <c r="L29" s="1"/>
      <c r="M29" s="4"/>
      <c r="N29" s="4"/>
      <c r="O29" s="1"/>
      <c r="P29" s="19" t="s">
        <v>141</v>
      </c>
      <c r="Q29" s="4">
        <f>Q27-Q28</f>
        <v>139300</v>
      </c>
      <c r="R29" s="1"/>
      <c r="S29" s="16">
        <v>10</v>
      </c>
      <c r="T29" s="50"/>
      <c r="U29" s="50"/>
      <c r="V29" s="50"/>
      <c r="X29" s="16"/>
    </row>
    <row r="30" spans="1:24" ht="12.75" x14ac:dyDescent="0.2">
      <c r="A30" s="5">
        <v>26</v>
      </c>
      <c r="B30" s="19">
        <v>6410</v>
      </c>
      <c r="C30" s="19">
        <v>4435</v>
      </c>
      <c r="D30" s="11"/>
      <c r="E30" s="5">
        <v>26</v>
      </c>
      <c r="F30" s="19">
        <v>34626</v>
      </c>
      <c r="G30" s="19">
        <v>30480</v>
      </c>
      <c r="H30" s="11"/>
      <c r="I30" s="5">
        <v>26</v>
      </c>
      <c r="J30" s="19">
        <v>23200</v>
      </c>
      <c r="K30" s="19">
        <v>0</v>
      </c>
      <c r="L30" s="1"/>
      <c r="M30" s="12" t="s">
        <v>36</v>
      </c>
      <c r="N30" s="13">
        <f>SUM(N19:N29)</f>
        <v>109907</v>
      </c>
      <c r="O30" s="1"/>
      <c r="P30" s="1"/>
      <c r="Q30" s="11"/>
      <c r="R30" s="1"/>
      <c r="S30" s="16">
        <v>11</v>
      </c>
      <c r="T30" s="16"/>
      <c r="U30" s="16"/>
      <c r="V30" s="50"/>
      <c r="X30" s="16"/>
    </row>
    <row r="31" spans="1:24" ht="12.75" x14ac:dyDescent="0.2">
      <c r="A31" s="5">
        <v>27</v>
      </c>
      <c r="B31" s="19">
        <v>7490</v>
      </c>
      <c r="C31" s="19">
        <v>5944</v>
      </c>
      <c r="D31" s="11"/>
      <c r="E31" s="5">
        <v>27</v>
      </c>
      <c r="F31" s="19">
        <v>36304</v>
      </c>
      <c r="G31" s="19">
        <f>26448+800</f>
        <v>27248</v>
      </c>
      <c r="H31" s="11"/>
      <c r="I31" s="5">
        <v>27</v>
      </c>
      <c r="J31" s="19">
        <v>39900</v>
      </c>
      <c r="K31" s="19">
        <v>0</v>
      </c>
      <c r="L31" s="1"/>
      <c r="M31" s="1"/>
      <c r="N31" s="1"/>
      <c r="O31" s="1"/>
      <c r="P31" s="1"/>
      <c r="Q31" s="1"/>
      <c r="R31" s="1"/>
      <c r="S31" s="16">
        <v>12</v>
      </c>
      <c r="T31" s="50"/>
      <c r="U31" s="50"/>
      <c r="V31" s="50"/>
      <c r="X31" s="16"/>
    </row>
    <row r="32" spans="1:24" ht="12.75" x14ac:dyDescent="0.2">
      <c r="A32" s="5">
        <v>28</v>
      </c>
      <c r="B32" s="19">
        <v>3676</v>
      </c>
      <c r="C32" s="19">
        <v>2498</v>
      </c>
      <c r="D32" s="11"/>
      <c r="E32" s="5">
        <v>28</v>
      </c>
      <c r="F32" s="19">
        <v>25985</v>
      </c>
      <c r="G32" s="19">
        <v>15255</v>
      </c>
      <c r="H32" s="1"/>
      <c r="I32" s="5">
        <v>28</v>
      </c>
      <c r="J32" s="19">
        <v>6100</v>
      </c>
      <c r="K32" s="19">
        <v>0</v>
      </c>
      <c r="L32" s="1"/>
      <c r="M32" s="81" t="s">
        <v>53</v>
      </c>
      <c r="N32" s="79"/>
      <c r="O32" s="1"/>
      <c r="P32" s="1"/>
      <c r="Q32" s="1"/>
      <c r="R32" s="1"/>
      <c r="S32" s="16">
        <v>13</v>
      </c>
      <c r="T32" s="16"/>
      <c r="U32" s="16"/>
      <c r="V32" s="50"/>
      <c r="X32" s="16"/>
    </row>
    <row r="33" spans="1:24" ht="12.75" x14ac:dyDescent="0.2">
      <c r="A33" s="5">
        <v>29</v>
      </c>
      <c r="B33" s="19">
        <v>4450</v>
      </c>
      <c r="C33" s="19">
        <v>2157</v>
      </c>
      <c r="D33" s="11"/>
      <c r="E33" s="5">
        <v>29</v>
      </c>
      <c r="F33" s="19">
        <v>27620</v>
      </c>
      <c r="G33" s="19">
        <v>12941</v>
      </c>
      <c r="H33" s="1"/>
      <c r="I33" s="5">
        <v>29</v>
      </c>
      <c r="J33" s="19">
        <v>0</v>
      </c>
      <c r="K33" s="19">
        <v>0</v>
      </c>
      <c r="L33" s="1"/>
      <c r="M33" s="2" t="s">
        <v>39</v>
      </c>
      <c r="N33" s="3" t="s">
        <v>6</v>
      </c>
      <c r="O33" s="1"/>
      <c r="P33" s="1"/>
      <c r="Q33" s="1"/>
      <c r="R33" s="1"/>
      <c r="S33" s="16">
        <v>14</v>
      </c>
      <c r="T33" s="16"/>
      <c r="U33" s="16"/>
      <c r="V33" s="50"/>
      <c r="X33" s="16"/>
    </row>
    <row r="34" spans="1:24" ht="12.75" x14ac:dyDescent="0.2">
      <c r="A34" s="5">
        <v>30</v>
      </c>
      <c r="B34" s="19">
        <v>3516</v>
      </c>
      <c r="C34" s="19">
        <v>2855</v>
      </c>
      <c r="D34" s="11"/>
      <c r="E34" s="5">
        <v>30</v>
      </c>
      <c r="F34" s="19">
        <v>48528</v>
      </c>
      <c r="G34" s="19">
        <v>9816</v>
      </c>
      <c r="H34" s="1"/>
      <c r="I34" s="5">
        <v>30</v>
      </c>
      <c r="J34" s="19">
        <v>7400</v>
      </c>
      <c r="K34" s="19">
        <v>0</v>
      </c>
      <c r="L34" s="1"/>
      <c r="M34" s="19" t="s">
        <v>96</v>
      </c>
      <c r="N34" s="19">
        <v>19000</v>
      </c>
      <c r="O34" s="11">
        <v>6000</v>
      </c>
      <c r="P34" s="1"/>
      <c r="Q34" s="1"/>
      <c r="R34" s="1"/>
      <c r="S34" s="16">
        <v>15</v>
      </c>
      <c r="T34" s="50"/>
      <c r="U34" s="50"/>
      <c r="V34" s="50"/>
      <c r="X34" s="16"/>
    </row>
    <row r="35" spans="1:24" ht="12.75" x14ac:dyDescent="0.2">
      <c r="A35" s="12" t="s">
        <v>36</v>
      </c>
      <c r="B35" s="13">
        <f t="shared" ref="B35:C35" si="0">SUM(B5:B34)+B37</f>
        <v>110859</v>
      </c>
      <c r="C35" s="13">
        <f t="shared" si="0"/>
        <v>74706</v>
      </c>
      <c r="D35" s="1"/>
      <c r="E35" s="12" t="s">
        <v>36</v>
      </c>
      <c r="F35" s="13">
        <f t="shared" ref="F35:G35" si="1">SUM(F5:F34)+F37</f>
        <v>961607</v>
      </c>
      <c r="G35" s="13">
        <f t="shared" si="1"/>
        <v>511187</v>
      </c>
      <c r="H35" s="1"/>
      <c r="I35" s="12" t="s">
        <v>36</v>
      </c>
      <c r="J35" s="13">
        <f t="shared" ref="J35:K35" si="2">SUM(J5:J34)+J37</f>
        <v>342900</v>
      </c>
      <c r="K35" s="13">
        <f t="shared" si="2"/>
        <v>0</v>
      </c>
      <c r="L35" s="1"/>
      <c r="M35" s="19" t="s">
        <v>102</v>
      </c>
      <c r="N35" s="19">
        <v>15000</v>
      </c>
      <c r="O35" s="11">
        <v>5000</v>
      </c>
      <c r="P35" s="1"/>
      <c r="Q35" s="1"/>
      <c r="R35" s="1"/>
      <c r="S35" s="16">
        <v>16</v>
      </c>
      <c r="T35" s="16"/>
      <c r="U35" s="16"/>
      <c r="V35" s="50"/>
      <c r="X35" s="50"/>
    </row>
    <row r="36" spans="1:24" ht="12.75" x14ac:dyDescent="0.2">
      <c r="A36" s="3" t="s">
        <v>56</v>
      </c>
      <c r="B36" s="82">
        <f>B35-C35</f>
        <v>36153</v>
      </c>
      <c r="C36" s="79"/>
      <c r="D36" s="1"/>
      <c r="E36" s="3" t="s">
        <v>56</v>
      </c>
      <c r="F36" s="82">
        <f>F35-G35</f>
        <v>450420</v>
      </c>
      <c r="G36" s="79"/>
      <c r="H36" s="1"/>
      <c r="I36" s="3" t="s">
        <v>56</v>
      </c>
      <c r="J36" s="82">
        <f>J35-K35</f>
        <v>342900</v>
      </c>
      <c r="K36" s="79"/>
      <c r="M36" s="19" t="s">
        <v>112</v>
      </c>
      <c r="N36" s="19">
        <v>11000</v>
      </c>
      <c r="O36" s="11">
        <v>4000</v>
      </c>
      <c r="P36" s="1"/>
      <c r="Q36" s="1"/>
      <c r="R36" s="1"/>
      <c r="S36" s="16">
        <v>17</v>
      </c>
      <c r="T36" s="16"/>
      <c r="U36" s="50"/>
      <c r="V36" s="50"/>
      <c r="X36" s="16"/>
    </row>
    <row r="37" spans="1:24" ht="12.75" x14ac:dyDescent="0.2">
      <c r="A37" s="5">
        <v>31</v>
      </c>
      <c r="B37" s="19">
        <v>0</v>
      </c>
      <c r="C37" s="19">
        <v>0</v>
      </c>
      <c r="D37" s="11"/>
      <c r="E37" s="5">
        <v>31</v>
      </c>
      <c r="F37" s="19">
        <v>28169</v>
      </c>
      <c r="G37" s="19">
        <v>23427</v>
      </c>
      <c r="H37" s="1"/>
      <c r="I37" s="5">
        <v>31</v>
      </c>
      <c r="J37" s="19">
        <v>28900</v>
      </c>
      <c r="K37" s="19">
        <v>0</v>
      </c>
      <c r="L37" s="60"/>
      <c r="M37" s="19" t="s">
        <v>142</v>
      </c>
      <c r="N37" s="19">
        <v>12000</v>
      </c>
      <c r="O37" s="11">
        <v>4000</v>
      </c>
      <c r="P37" s="1"/>
      <c r="Q37" s="1"/>
      <c r="R37" s="11"/>
      <c r="S37" s="16">
        <v>18</v>
      </c>
      <c r="T37" s="16"/>
      <c r="U37" s="16"/>
      <c r="V37" s="50"/>
      <c r="X37" s="16"/>
    </row>
    <row r="38" spans="1:24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4" t="s">
        <v>144</v>
      </c>
      <c r="N38" s="54">
        <v>10000</v>
      </c>
      <c r="O38" s="11">
        <v>3000</v>
      </c>
      <c r="P38" s="1">
        <f>C47-C48-Z17-N26-N27</f>
        <v>829473</v>
      </c>
      <c r="Q38" s="1"/>
      <c r="R38" s="1"/>
      <c r="S38" s="16">
        <v>19</v>
      </c>
      <c r="T38" s="16"/>
      <c r="U38" s="16"/>
      <c r="V38" s="50"/>
      <c r="X38" s="16"/>
    </row>
    <row r="39" spans="1:24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9"/>
      <c r="N39" s="19"/>
      <c r="O39" s="1">
        <f>SUM(O4:O38)</f>
        <v>70000</v>
      </c>
      <c r="P39" s="1"/>
      <c r="Q39" s="1"/>
      <c r="R39" s="1"/>
      <c r="S39" s="16">
        <v>20</v>
      </c>
      <c r="T39" s="50"/>
      <c r="U39" s="16"/>
      <c r="V39" s="50"/>
      <c r="X39" s="16"/>
    </row>
    <row r="40" spans="1:24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"/>
      <c r="N40" s="4"/>
      <c r="O40" s="1"/>
      <c r="P40" s="1"/>
      <c r="Q40" s="1"/>
      <c r="R40" s="1"/>
      <c r="S40" s="16">
        <v>21</v>
      </c>
      <c r="T40" s="50"/>
      <c r="U40" s="50"/>
      <c r="V40" s="50"/>
      <c r="X40" s="16"/>
    </row>
    <row r="41" spans="1:24" ht="12.75" x14ac:dyDescent="0.2">
      <c r="A41" s="1"/>
      <c r="B41" s="1"/>
      <c r="C41" s="1"/>
      <c r="D41" s="1"/>
      <c r="E41" s="1"/>
      <c r="F41" s="1"/>
      <c r="G41" s="83" t="s">
        <v>130</v>
      </c>
      <c r="H41" s="79"/>
      <c r="I41" s="1"/>
      <c r="J41" s="1"/>
      <c r="K41" s="1"/>
      <c r="L41" s="1"/>
      <c r="M41" s="4"/>
      <c r="N41" s="4"/>
      <c r="O41" s="1"/>
      <c r="P41" s="1"/>
      <c r="Q41" s="1"/>
      <c r="R41" s="1"/>
      <c r="S41" s="16">
        <v>22</v>
      </c>
      <c r="T41" s="50"/>
      <c r="U41" s="50"/>
      <c r="V41" s="50"/>
      <c r="X41" s="16"/>
    </row>
    <row r="42" spans="1:24" ht="12.75" x14ac:dyDescent="0.2">
      <c r="A42" s="1"/>
      <c r="B42" s="1"/>
      <c r="C42" s="1"/>
      <c r="D42" s="1"/>
      <c r="E42" s="1"/>
      <c r="F42" s="1"/>
      <c r="G42" s="19" t="s">
        <v>106</v>
      </c>
      <c r="H42" s="19" t="s">
        <v>131</v>
      </c>
      <c r="I42" s="1"/>
      <c r="J42" s="1"/>
      <c r="K42" s="1"/>
      <c r="L42" s="1"/>
      <c r="M42" s="4"/>
      <c r="N42" s="4"/>
      <c r="O42" s="1"/>
      <c r="P42" s="1"/>
      <c r="Q42" s="1"/>
      <c r="R42" s="1"/>
      <c r="S42" s="16">
        <v>23</v>
      </c>
      <c r="T42" s="50"/>
      <c r="U42" s="16"/>
      <c r="V42" s="50"/>
      <c r="X42" s="16"/>
    </row>
    <row r="43" spans="1:24" ht="12.75" x14ac:dyDescent="0.2">
      <c r="A43" s="1"/>
      <c r="B43" s="1"/>
      <c r="C43" s="1"/>
      <c r="D43" s="1"/>
      <c r="E43" s="1"/>
      <c r="F43" s="1"/>
      <c r="G43" s="62">
        <v>44806</v>
      </c>
      <c r="H43" s="19">
        <v>1000</v>
      </c>
      <c r="I43" s="1"/>
      <c r="J43" s="1"/>
      <c r="K43" s="1"/>
      <c r="L43" s="1"/>
      <c r="M43" s="4"/>
      <c r="N43" s="4"/>
      <c r="O43" s="1"/>
      <c r="P43" s="1"/>
      <c r="Q43" s="1"/>
      <c r="R43" s="1"/>
      <c r="S43" s="16">
        <v>24</v>
      </c>
      <c r="T43" s="50"/>
      <c r="U43" s="50"/>
      <c r="V43" s="50"/>
      <c r="X43" s="16"/>
    </row>
    <row r="44" spans="1:24" ht="12.75" x14ac:dyDescent="0.2">
      <c r="A44" s="1"/>
      <c r="B44" s="1"/>
      <c r="C44" s="1"/>
      <c r="D44" s="1"/>
      <c r="E44" s="1"/>
      <c r="F44" s="1"/>
      <c r="G44" s="62">
        <v>44811</v>
      </c>
      <c r="H44" s="19">
        <v>300</v>
      </c>
      <c r="I44" s="1"/>
      <c r="J44" s="1"/>
      <c r="K44" s="1"/>
      <c r="L44" s="1"/>
      <c r="M44" s="4"/>
      <c r="N44" s="4"/>
      <c r="O44" s="1"/>
      <c r="P44" s="1"/>
      <c r="Q44" s="1"/>
      <c r="R44" s="1"/>
      <c r="S44" s="16">
        <v>25</v>
      </c>
      <c r="T44" s="16"/>
      <c r="U44" s="16"/>
      <c r="V44" s="50"/>
      <c r="X44" s="16"/>
    </row>
    <row r="45" spans="1:24" ht="12.75" x14ac:dyDescent="0.2">
      <c r="A45" s="1"/>
      <c r="B45" s="1"/>
      <c r="C45" s="1"/>
      <c r="D45" s="1"/>
      <c r="E45" s="1"/>
      <c r="F45" s="1"/>
      <c r="G45" s="62"/>
      <c r="H45" s="19"/>
      <c r="I45" s="1"/>
      <c r="J45" s="1"/>
      <c r="K45" s="1"/>
      <c r="L45" s="1"/>
      <c r="M45" s="4"/>
      <c r="N45" s="4"/>
      <c r="O45" s="1"/>
      <c r="P45" s="1"/>
      <c r="Q45" s="1"/>
      <c r="R45" s="1"/>
      <c r="S45" s="16">
        <v>26</v>
      </c>
      <c r="T45" s="16"/>
      <c r="U45" s="16"/>
      <c r="V45" s="50"/>
      <c r="X45" s="50"/>
    </row>
    <row r="46" spans="1:24" ht="12.75" x14ac:dyDescent="0.2">
      <c r="A46" s="1"/>
      <c r="B46" s="1"/>
      <c r="C46" s="1"/>
      <c r="D46" s="1"/>
      <c r="E46" s="1"/>
      <c r="F46" s="1"/>
      <c r="G46" s="62"/>
      <c r="H46" s="19"/>
      <c r="I46" s="1"/>
      <c r="J46" s="1"/>
      <c r="K46" s="1"/>
      <c r="L46" s="1"/>
      <c r="M46" s="4"/>
      <c r="N46" s="4"/>
      <c r="O46" s="1"/>
      <c r="P46" s="1"/>
      <c r="Q46" s="1"/>
      <c r="R46" s="1"/>
      <c r="S46" s="16">
        <v>27</v>
      </c>
      <c r="T46" s="16"/>
      <c r="U46" s="16"/>
      <c r="V46" s="50"/>
      <c r="X46" s="16"/>
    </row>
    <row r="47" spans="1:24" ht="12.75" x14ac:dyDescent="0.2">
      <c r="A47" s="1"/>
      <c r="B47" s="1"/>
      <c r="C47" s="1">
        <f>(B35+F35+J35)</f>
        <v>1415366</v>
      </c>
      <c r="D47" s="1"/>
      <c r="E47" s="1"/>
      <c r="F47" s="1"/>
      <c r="G47" s="62"/>
      <c r="H47" s="19"/>
      <c r="I47" s="1"/>
      <c r="J47" s="1"/>
      <c r="K47" s="1"/>
      <c r="L47" s="1"/>
      <c r="M47" s="4"/>
      <c r="N47" s="4"/>
      <c r="O47" s="1"/>
      <c r="P47" s="1"/>
      <c r="Q47" s="1"/>
      <c r="R47" s="1"/>
      <c r="S47" s="16">
        <v>28</v>
      </c>
      <c r="T47" s="50"/>
      <c r="U47" s="16"/>
      <c r="V47" s="50"/>
      <c r="X47" s="16"/>
    </row>
    <row r="48" spans="1:24" ht="12.75" x14ac:dyDescent="0.2">
      <c r="A48" s="1"/>
      <c r="B48" s="1"/>
      <c r="C48" s="42">
        <f>C35+G35</f>
        <v>585893</v>
      </c>
      <c r="D48" s="1"/>
      <c r="E48" s="1"/>
      <c r="F48" s="1"/>
      <c r="G48" s="62"/>
      <c r="H48" s="19"/>
      <c r="I48" s="1"/>
      <c r="J48" s="1"/>
      <c r="K48" s="1"/>
      <c r="L48" s="1"/>
      <c r="M48" s="4"/>
      <c r="N48" s="4"/>
      <c r="O48" s="1"/>
      <c r="P48" s="11">
        <v>105100</v>
      </c>
      <c r="Q48" s="1"/>
      <c r="R48" s="1"/>
      <c r="S48" s="16">
        <v>29</v>
      </c>
      <c r="T48" s="16"/>
      <c r="U48" s="50"/>
      <c r="V48" s="50"/>
      <c r="X48" s="16"/>
    </row>
    <row r="49" spans="1:24" ht="12.75" x14ac:dyDescent="0.2">
      <c r="A49" s="1"/>
      <c r="B49" s="1"/>
      <c r="C49" s="1">
        <f>C48/C47</f>
        <v>0.4139515856675941</v>
      </c>
      <c r="D49" s="1"/>
      <c r="E49" s="1"/>
      <c r="F49" s="1"/>
      <c r="G49" s="62"/>
      <c r="H49" s="19"/>
      <c r="I49" s="1"/>
      <c r="J49" s="1"/>
      <c r="K49" s="1"/>
      <c r="L49" s="1"/>
      <c r="M49" s="4"/>
      <c r="N49" s="4"/>
      <c r="O49" s="1"/>
      <c r="P49" s="1"/>
      <c r="Q49" s="1"/>
      <c r="R49" s="1"/>
      <c r="S49" s="16">
        <v>30</v>
      </c>
      <c r="T49" s="16"/>
      <c r="U49" s="16"/>
      <c r="V49" s="50"/>
      <c r="X49" s="16"/>
    </row>
    <row r="50" spans="1:24" ht="12.75" x14ac:dyDescent="0.2">
      <c r="A50" s="1"/>
      <c r="B50" s="1"/>
      <c r="C50" s="1"/>
      <c r="D50" s="1"/>
      <c r="E50" s="1"/>
      <c r="F50" s="1"/>
      <c r="G50" s="21"/>
      <c r="H50" s="19"/>
      <c r="I50" s="1"/>
      <c r="J50" s="1"/>
      <c r="K50" s="1"/>
      <c r="L50" s="1"/>
      <c r="M50" s="4"/>
      <c r="N50" s="4"/>
      <c r="O50" s="1"/>
      <c r="P50" s="1"/>
      <c r="Q50" s="1"/>
      <c r="R50" s="1"/>
      <c r="S50" s="58" t="s">
        <v>116</v>
      </c>
      <c r="T50" s="59">
        <f t="shared" ref="T50:V50" si="3">SUM(T20:T49)</f>
        <v>0</v>
      </c>
      <c r="U50" s="59">
        <f t="shared" si="3"/>
        <v>0</v>
      </c>
      <c r="V50" s="59">
        <f t="shared" si="3"/>
        <v>0</v>
      </c>
      <c r="X50" s="50"/>
    </row>
    <row r="51" spans="1:24" ht="12.75" x14ac:dyDescent="0.2">
      <c r="A51" s="1"/>
      <c r="B51" s="1"/>
      <c r="C51" s="1"/>
      <c r="D51" s="1"/>
      <c r="E51" s="1"/>
      <c r="F51" s="1"/>
      <c r="G51" s="4"/>
      <c r="H51" s="4"/>
      <c r="I51" s="1"/>
      <c r="J51" s="1"/>
      <c r="K51" s="1"/>
      <c r="L51" s="1"/>
      <c r="M51" s="4"/>
      <c r="N51" s="4"/>
      <c r="O51" s="1"/>
      <c r="P51" s="1"/>
      <c r="Q51" s="1"/>
      <c r="R51" s="1"/>
      <c r="X51" s="42">
        <f>SUM(X20:X50)</f>
        <v>0</v>
      </c>
    </row>
    <row r="52" spans="1:24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4"/>
      <c r="O52" s="1"/>
      <c r="P52" s="1"/>
      <c r="Q52" s="1"/>
      <c r="R52" s="1"/>
    </row>
    <row r="53" spans="1:24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4"/>
      <c r="O53" s="1"/>
      <c r="P53" s="1"/>
      <c r="Q53" s="1"/>
      <c r="R53" s="1"/>
    </row>
    <row r="54" spans="1:24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4"/>
      <c r="O54" s="1"/>
      <c r="P54" s="1"/>
      <c r="Q54" s="1"/>
      <c r="R54" s="1"/>
    </row>
    <row r="55" spans="1:24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 t="s">
        <v>36</v>
      </c>
      <c r="N55" s="5">
        <f>SUM(N34:N54)</f>
        <v>67000</v>
      </c>
      <c r="O55" s="1"/>
      <c r="P55" s="1"/>
      <c r="Q55" s="1"/>
      <c r="R55" s="1"/>
      <c r="S55" s="1"/>
      <c r="T55" s="1"/>
    </row>
  </sheetData>
  <mergeCells count="13">
    <mergeCell ref="S18:V18"/>
    <mergeCell ref="G41:H41"/>
    <mergeCell ref="A1:P1"/>
    <mergeCell ref="M2:N2"/>
    <mergeCell ref="A3:C3"/>
    <mergeCell ref="E3:G3"/>
    <mergeCell ref="I3:K3"/>
    <mergeCell ref="P17:Q17"/>
    <mergeCell ref="M17:N17"/>
    <mergeCell ref="M32:N32"/>
    <mergeCell ref="B36:C36"/>
    <mergeCell ref="F36:G36"/>
    <mergeCell ref="J36:K36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X55"/>
  <sheetViews>
    <sheetView topLeftCell="A7" workbookViewId="0">
      <selection activeCell="Q22" sqref="Q22"/>
    </sheetView>
  </sheetViews>
  <sheetFormatPr defaultColWidth="12.5703125" defaultRowHeight="15.75" customHeight="1" x14ac:dyDescent="0.2"/>
  <cols>
    <col min="1" max="1" width="5.85546875" customWidth="1"/>
    <col min="2" max="2" width="6.42578125" customWidth="1"/>
    <col min="3" max="3" width="8.28515625" customWidth="1"/>
    <col min="4" max="4" width="5.85546875" customWidth="1"/>
    <col min="5" max="5" width="6.28515625" customWidth="1"/>
    <col min="6" max="6" width="6.42578125" customWidth="1"/>
    <col min="7" max="7" width="6.5703125" customWidth="1"/>
    <col min="8" max="8" width="4.42578125" customWidth="1"/>
    <col min="9" max="10" width="6.42578125" customWidth="1"/>
    <col min="11" max="11" width="6.5703125" customWidth="1"/>
    <col min="12" max="12" width="6.42578125" customWidth="1"/>
    <col min="13" max="13" width="11.42578125" customWidth="1"/>
    <col min="14" max="14" width="6.7109375" customWidth="1"/>
    <col min="15" max="15" width="5.5703125" customWidth="1"/>
    <col min="16" max="16" width="11.42578125" customWidth="1"/>
    <col min="17" max="17" width="13.28515625" customWidth="1"/>
    <col min="18" max="19" width="6" customWidth="1"/>
    <col min="20" max="21" width="4.42578125" customWidth="1"/>
    <col min="22" max="22" width="4.140625" customWidth="1"/>
    <col min="23" max="23" width="5.42578125" customWidth="1"/>
    <col min="24" max="24" width="3.5703125" customWidth="1"/>
  </cols>
  <sheetData>
    <row r="1" spans="1:24" ht="12.75" x14ac:dyDescent="0.2">
      <c r="A1" s="80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79"/>
      <c r="Q1" s="1"/>
      <c r="R1" s="1"/>
    </row>
    <row r="2" spans="1:24" ht="12.7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5" t="s">
        <v>1</v>
      </c>
      <c r="N2" s="79"/>
      <c r="O2" s="1"/>
      <c r="P2" s="1"/>
      <c r="Q2" s="1"/>
      <c r="R2" s="1"/>
    </row>
    <row r="3" spans="1:24" ht="12.75" x14ac:dyDescent="0.2">
      <c r="A3" s="86" t="s">
        <v>2</v>
      </c>
      <c r="B3" s="84"/>
      <c r="C3" s="79"/>
      <c r="D3" s="1"/>
      <c r="E3" s="87" t="s">
        <v>3</v>
      </c>
      <c r="F3" s="84"/>
      <c r="G3" s="79"/>
      <c r="H3" s="1"/>
      <c r="I3" s="88" t="s">
        <v>4</v>
      </c>
      <c r="J3" s="84"/>
      <c r="K3" s="79"/>
      <c r="L3" s="1"/>
      <c r="M3" s="2" t="s">
        <v>5</v>
      </c>
      <c r="N3" s="3" t="s">
        <v>6</v>
      </c>
      <c r="O3" s="1"/>
      <c r="P3" s="1"/>
      <c r="Q3" s="1"/>
      <c r="R3" s="1"/>
    </row>
    <row r="4" spans="1:24" ht="12.75" x14ac:dyDescent="0.2">
      <c r="A4" s="4" t="s">
        <v>7</v>
      </c>
      <c r="B4" s="4" t="s">
        <v>8</v>
      </c>
      <c r="C4" s="4" t="s">
        <v>9</v>
      </c>
      <c r="D4" s="1"/>
      <c r="E4" s="4" t="s">
        <v>7</v>
      </c>
      <c r="F4" s="4" t="s">
        <v>8</v>
      </c>
      <c r="G4" s="4" t="s">
        <v>9</v>
      </c>
      <c r="H4" s="1"/>
      <c r="I4" s="4" t="s">
        <v>7</v>
      </c>
      <c r="J4" s="4" t="s">
        <v>8</v>
      </c>
      <c r="K4" s="4" t="s">
        <v>9</v>
      </c>
      <c r="L4" s="1"/>
      <c r="M4" s="16" t="s">
        <v>69</v>
      </c>
      <c r="N4" s="16">
        <v>19000</v>
      </c>
      <c r="O4" s="11">
        <v>7000</v>
      </c>
      <c r="P4" s="1"/>
      <c r="Q4" s="1"/>
      <c r="R4" s="1"/>
      <c r="T4" s="1"/>
      <c r="U4" s="1"/>
      <c r="V4" s="1"/>
      <c r="X4" s="1"/>
    </row>
    <row r="5" spans="1:24" ht="12.75" x14ac:dyDescent="0.2">
      <c r="A5" s="5">
        <v>1</v>
      </c>
      <c r="B5" s="20">
        <v>4130</v>
      </c>
      <c r="C5" s="20">
        <v>2533</v>
      </c>
      <c r="D5" s="11"/>
      <c r="E5" s="5">
        <v>1</v>
      </c>
      <c r="F5" s="20">
        <v>31656</v>
      </c>
      <c r="G5" s="20">
        <v>23156</v>
      </c>
      <c r="H5" s="7"/>
      <c r="I5" s="5">
        <v>1</v>
      </c>
      <c r="J5" s="20">
        <v>10000</v>
      </c>
      <c r="K5" s="20">
        <v>0</v>
      </c>
      <c r="L5" s="1"/>
      <c r="M5" s="4" t="s">
        <v>12</v>
      </c>
      <c r="N5" s="20">
        <v>20000</v>
      </c>
      <c r="O5" s="11">
        <v>7000</v>
      </c>
      <c r="P5" s="1"/>
      <c r="Q5" s="1"/>
      <c r="R5" s="1"/>
      <c r="T5" s="1"/>
      <c r="U5" s="1"/>
      <c r="V5" s="1"/>
      <c r="X5" s="1"/>
    </row>
    <row r="6" spans="1:24" ht="12.75" x14ac:dyDescent="0.2">
      <c r="A6" s="5">
        <v>2</v>
      </c>
      <c r="B6" s="20">
        <v>5182</v>
      </c>
      <c r="C6" s="20">
        <v>3399</v>
      </c>
      <c r="D6" s="29"/>
      <c r="E6" s="5">
        <v>2</v>
      </c>
      <c r="F6" s="20">
        <v>26654</v>
      </c>
      <c r="G6" s="20">
        <v>15184</v>
      </c>
      <c r="H6" s="7"/>
      <c r="I6" s="5">
        <v>2</v>
      </c>
      <c r="J6" s="20">
        <v>24000</v>
      </c>
      <c r="K6" s="20">
        <v>0</v>
      </c>
      <c r="L6" s="11"/>
      <c r="M6" s="4" t="s">
        <v>15</v>
      </c>
      <c r="N6" s="20">
        <v>16000</v>
      </c>
      <c r="O6" s="11">
        <v>5000</v>
      </c>
      <c r="P6" s="1"/>
      <c r="Q6" s="1"/>
      <c r="R6" s="1"/>
      <c r="T6" s="61"/>
      <c r="U6" s="11"/>
      <c r="V6" s="29"/>
      <c r="X6" s="61"/>
    </row>
    <row r="7" spans="1:24" ht="12.75" x14ac:dyDescent="0.2">
      <c r="A7" s="5">
        <v>3</v>
      </c>
      <c r="B7" s="20">
        <v>6990</v>
      </c>
      <c r="C7" s="20">
        <v>4849</v>
      </c>
      <c r="D7" s="7"/>
      <c r="E7" s="5">
        <v>3</v>
      </c>
      <c r="F7" s="20">
        <v>32826</v>
      </c>
      <c r="G7" s="20">
        <v>22541</v>
      </c>
      <c r="H7" s="7"/>
      <c r="I7" s="5">
        <v>3</v>
      </c>
      <c r="J7" s="20">
        <v>2400</v>
      </c>
      <c r="K7" s="20">
        <v>0</v>
      </c>
      <c r="L7" s="11"/>
      <c r="M7" s="4" t="s">
        <v>19</v>
      </c>
      <c r="N7" s="20">
        <v>8000</v>
      </c>
      <c r="O7" s="11">
        <v>3000</v>
      </c>
      <c r="P7" s="1"/>
      <c r="Q7" s="1"/>
      <c r="R7" s="1"/>
      <c r="T7" s="28"/>
      <c r="U7" s="11"/>
      <c r="V7" s="11"/>
      <c r="X7" s="61"/>
    </row>
    <row r="8" spans="1:24" ht="12.75" x14ac:dyDescent="0.2">
      <c r="A8" s="5">
        <v>4</v>
      </c>
      <c r="B8" s="19">
        <v>9389</v>
      </c>
      <c r="C8" s="19">
        <v>5393</v>
      </c>
      <c r="D8" s="11"/>
      <c r="E8" s="5">
        <v>4</v>
      </c>
      <c r="F8" s="19">
        <v>44304</v>
      </c>
      <c r="G8" s="19">
        <v>19114</v>
      </c>
      <c r="H8" s="11"/>
      <c r="I8" s="5">
        <v>4</v>
      </c>
      <c r="J8" s="19">
        <v>22200</v>
      </c>
      <c r="K8" s="19">
        <v>0</v>
      </c>
      <c r="L8" s="1"/>
      <c r="M8" s="4" t="s">
        <v>22</v>
      </c>
      <c r="N8" s="20">
        <v>13000</v>
      </c>
      <c r="O8" s="11">
        <v>4000</v>
      </c>
      <c r="P8" s="1"/>
      <c r="Q8" s="1"/>
      <c r="R8" s="1"/>
      <c r="T8" s="28"/>
      <c r="U8" s="11"/>
      <c r="V8" s="11"/>
      <c r="X8" s="28"/>
    </row>
    <row r="9" spans="1:24" ht="12.75" x14ac:dyDescent="0.2">
      <c r="A9" s="5">
        <v>5</v>
      </c>
      <c r="B9" s="19">
        <v>6735</v>
      </c>
      <c r="C9" s="19">
        <v>4695</v>
      </c>
      <c r="D9" s="11"/>
      <c r="E9" s="5">
        <v>5</v>
      </c>
      <c r="F9" s="19">
        <v>61112</v>
      </c>
      <c r="G9" s="19">
        <v>30068</v>
      </c>
      <c r="H9" s="11"/>
      <c r="I9" s="5">
        <v>5</v>
      </c>
      <c r="J9" s="19">
        <v>6100</v>
      </c>
      <c r="K9" s="19">
        <v>0</v>
      </c>
      <c r="L9" s="1"/>
      <c r="M9" s="4" t="s">
        <v>24</v>
      </c>
      <c r="N9" s="20">
        <v>8000</v>
      </c>
      <c r="O9" s="11">
        <v>3000</v>
      </c>
      <c r="P9" s="1"/>
      <c r="Q9" s="1"/>
      <c r="R9" s="1"/>
      <c r="T9" s="28"/>
      <c r="U9" s="11"/>
      <c r="V9" s="11"/>
      <c r="X9" s="28"/>
    </row>
    <row r="10" spans="1:24" ht="12.75" x14ac:dyDescent="0.2">
      <c r="A10" s="5">
        <v>6</v>
      </c>
      <c r="B10" s="19">
        <v>2334</v>
      </c>
      <c r="C10" s="19">
        <v>500</v>
      </c>
      <c r="D10" s="11"/>
      <c r="E10" s="5">
        <v>6</v>
      </c>
      <c r="F10" s="19">
        <v>40480</v>
      </c>
      <c r="G10" s="19">
        <v>16132</v>
      </c>
      <c r="H10" s="11"/>
      <c r="I10" s="5">
        <v>6</v>
      </c>
      <c r="J10" s="19">
        <v>9200</v>
      </c>
      <c r="K10" s="19">
        <v>0</v>
      </c>
      <c r="L10" s="11"/>
      <c r="M10" s="19" t="s">
        <v>29</v>
      </c>
      <c r="N10" s="20">
        <v>19000</v>
      </c>
      <c r="O10" s="11">
        <v>7000</v>
      </c>
      <c r="P10" s="1"/>
      <c r="Q10" s="1"/>
      <c r="R10" s="1"/>
      <c r="T10" s="28"/>
      <c r="U10" s="11"/>
      <c r="V10" s="11"/>
      <c r="X10" s="28"/>
    </row>
    <row r="11" spans="1:24" ht="12.75" x14ac:dyDescent="0.2">
      <c r="A11" s="5">
        <v>7</v>
      </c>
      <c r="B11" s="19">
        <v>0</v>
      </c>
      <c r="C11" s="19">
        <v>0</v>
      </c>
      <c r="D11" s="11"/>
      <c r="E11" s="5">
        <v>7</v>
      </c>
      <c r="F11" s="19">
        <v>49195</v>
      </c>
      <c r="G11" s="19">
        <v>15052</v>
      </c>
      <c r="H11" s="11"/>
      <c r="I11" s="5">
        <v>7</v>
      </c>
      <c r="J11" s="19">
        <v>2000</v>
      </c>
      <c r="K11" s="19">
        <v>0</v>
      </c>
      <c r="L11" s="11"/>
      <c r="M11" s="19" t="s">
        <v>128</v>
      </c>
      <c r="N11" s="20">
        <v>16000</v>
      </c>
      <c r="O11" s="40">
        <v>5000</v>
      </c>
      <c r="P11" s="1"/>
      <c r="Q11" s="1"/>
      <c r="R11" s="1"/>
      <c r="T11" s="28"/>
      <c r="U11" s="11"/>
      <c r="V11" s="11"/>
      <c r="X11" s="28"/>
    </row>
    <row r="12" spans="1:24" ht="12.75" x14ac:dyDescent="0.2">
      <c r="A12" s="5">
        <v>8</v>
      </c>
      <c r="B12" s="19">
        <v>5492</v>
      </c>
      <c r="C12" s="19">
        <v>3375</v>
      </c>
      <c r="D12" s="11"/>
      <c r="E12" s="5">
        <v>8</v>
      </c>
      <c r="F12" s="19">
        <v>30600</v>
      </c>
      <c r="G12" s="19">
        <v>13626</v>
      </c>
      <c r="H12" s="11"/>
      <c r="I12" s="5">
        <v>8</v>
      </c>
      <c r="J12" s="19">
        <v>9700</v>
      </c>
      <c r="K12" s="19">
        <v>0</v>
      </c>
      <c r="L12" s="11"/>
      <c r="M12" s="19" t="s">
        <v>74</v>
      </c>
      <c r="N12" s="20">
        <v>12000</v>
      </c>
      <c r="O12" s="11">
        <v>4000</v>
      </c>
      <c r="P12" s="1"/>
      <c r="Q12" s="1"/>
      <c r="R12" s="1"/>
      <c r="T12" s="28"/>
      <c r="U12" s="11"/>
      <c r="V12" s="11"/>
      <c r="X12" s="28"/>
    </row>
    <row r="13" spans="1:24" ht="12.75" x14ac:dyDescent="0.2">
      <c r="A13" s="5">
        <v>9</v>
      </c>
      <c r="B13" s="19">
        <v>4160</v>
      </c>
      <c r="C13" s="19">
        <v>1812</v>
      </c>
      <c r="D13" s="11"/>
      <c r="E13" s="5">
        <v>9</v>
      </c>
      <c r="F13" s="19">
        <v>39849</v>
      </c>
      <c r="G13" s="19">
        <v>19712</v>
      </c>
      <c r="H13" s="11"/>
      <c r="I13" s="5">
        <v>9</v>
      </c>
      <c r="J13" s="19">
        <v>0</v>
      </c>
      <c r="K13" s="19">
        <v>0</v>
      </c>
      <c r="L13" s="11"/>
      <c r="M13" s="19" t="s">
        <v>87</v>
      </c>
      <c r="N13" s="19">
        <v>13000</v>
      </c>
      <c r="O13" s="11">
        <v>4000</v>
      </c>
      <c r="P13" s="1"/>
      <c r="Q13" s="1"/>
      <c r="R13" s="1"/>
      <c r="T13" s="28"/>
      <c r="U13" s="11"/>
      <c r="V13" s="11"/>
      <c r="X13" s="28"/>
    </row>
    <row r="14" spans="1:24" ht="12.75" x14ac:dyDescent="0.2">
      <c r="A14" s="5">
        <v>10</v>
      </c>
      <c r="B14" s="19">
        <v>2750</v>
      </c>
      <c r="C14" s="19">
        <v>1890</v>
      </c>
      <c r="D14" s="11"/>
      <c r="E14" s="5">
        <v>10</v>
      </c>
      <c r="F14" s="19">
        <v>21445</v>
      </c>
      <c r="G14" s="19">
        <v>12487</v>
      </c>
      <c r="H14" s="11"/>
      <c r="I14" s="5">
        <v>10</v>
      </c>
      <c r="J14" s="19">
        <v>4000</v>
      </c>
      <c r="K14" s="19">
        <v>0</v>
      </c>
      <c r="L14" s="1"/>
      <c r="M14" s="19" t="s">
        <v>134</v>
      </c>
      <c r="N14" s="19">
        <v>15000</v>
      </c>
      <c r="O14" s="11">
        <v>5000</v>
      </c>
      <c r="P14" s="1"/>
      <c r="Q14" s="1"/>
      <c r="R14" s="1"/>
      <c r="T14" s="28"/>
      <c r="U14" s="11"/>
      <c r="V14" s="11"/>
      <c r="X14" s="28"/>
    </row>
    <row r="15" spans="1:24" ht="12.75" x14ac:dyDescent="0.2">
      <c r="A15" s="5">
        <v>11</v>
      </c>
      <c r="B15" s="19">
        <v>2619</v>
      </c>
      <c r="C15" s="19">
        <v>600</v>
      </c>
      <c r="D15" s="11"/>
      <c r="E15" s="5">
        <v>11</v>
      </c>
      <c r="F15" s="19">
        <v>29910</v>
      </c>
      <c r="G15" s="19">
        <v>32391</v>
      </c>
      <c r="H15" s="11"/>
      <c r="I15" s="5">
        <v>11</v>
      </c>
      <c r="J15" s="19">
        <v>41200</v>
      </c>
      <c r="K15" s="19">
        <v>0</v>
      </c>
      <c r="L15" s="1"/>
      <c r="M15" s="12" t="s">
        <v>79</v>
      </c>
      <c r="N15" s="13">
        <f>SUM(N4:N14)</f>
        <v>159000</v>
      </c>
      <c r="O15" s="1"/>
      <c r="P15" s="1"/>
      <c r="Q15" s="1"/>
      <c r="R15" s="1"/>
      <c r="T15" s="28"/>
      <c r="U15" s="11"/>
      <c r="V15" s="11"/>
      <c r="X15" s="28"/>
    </row>
    <row r="16" spans="1:24" ht="12.75" x14ac:dyDescent="0.2">
      <c r="A16" s="5">
        <v>12</v>
      </c>
      <c r="B16" s="19">
        <v>20266</v>
      </c>
      <c r="C16" s="19">
        <v>14644</v>
      </c>
      <c r="D16" s="11"/>
      <c r="E16" s="5">
        <v>12</v>
      </c>
      <c r="F16" s="19">
        <v>41685</v>
      </c>
      <c r="G16" s="19">
        <v>9698</v>
      </c>
      <c r="H16" s="11"/>
      <c r="I16" s="5">
        <v>12</v>
      </c>
      <c r="J16" s="19">
        <v>0</v>
      </c>
      <c r="K16" s="19">
        <v>0</v>
      </c>
      <c r="L16" s="1"/>
      <c r="M16" s="25"/>
      <c r="N16" s="6"/>
      <c r="O16" s="1"/>
      <c r="P16" s="1"/>
      <c r="Q16" s="1"/>
      <c r="R16" s="1"/>
    </row>
    <row r="17" spans="1:24" ht="12.75" x14ac:dyDescent="0.2">
      <c r="A17" s="5">
        <v>13</v>
      </c>
      <c r="B17" s="19">
        <v>5148</v>
      </c>
      <c r="C17" s="19">
        <v>3875</v>
      </c>
      <c r="D17" s="11"/>
      <c r="E17" s="5">
        <v>13</v>
      </c>
      <c r="F17" s="19">
        <v>54343</v>
      </c>
      <c r="G17" s="19">
        <v>32248</v>
      </c>
      <c r="H17" s="11"/>
      <c r="I17" s="5">
        <v>13</v>
      </c>
      <c r="J17" s="19">
        <v>1600</v>
      </c>
      <c r="K17" s="19">
        <v>0</v>
      </c>
      <c r="L17" s="1"/>
      <c r="M17" s="78" t="s">
        <v>37</v>
      </c>
      <c r="N17" s="79"/>
      <c r="O17" s="1"/>
      <c r="P17" s="80" t="s">
        <v>38</v>
      </c>
      <c r="Q17" s="79"/>
      <c r="R17" s="1"/>
    </row>
    <row r="18" spans="1:24" ht="12.75" x14ac:dyDescent="0.2">
      <c r="A18" s="5">
        <v>14</v>
      </c>
      <c r="B18" s="19">
        <v>0</v>
      </c>
      <c r="C18" s="19">
        <v>0</v>
      </c>
      <c r="D18" s="11"/>
      <c r="E18" s="5">
        <v>14</v>
      </c>
      <c r="F18" s="19">
        <v>39035</v>
      </c>
      <c r="G18" s="19">
        <v>8713</v>
      </c>
      <c r="H18" s="11"/>
      <c r="I18" s="5">
        <v>14</v>
      </c>
      <c r="J18" s="19">
        <v>37600</v>
      </c>
      <c r="K18" s="19">
        <v>0</v>
      </c>
      <c r="L18" s="1"/>
      <c r="M18" s="2" t="s">
        <v>39</v>
      </c>
      <c r="N18" s="3" t="s">
        <v>6</v>
      </c>
      <c r="O18" s="1"/>
      <c r="P18" s="2" t="s">
        <v>5</v>
      </c>
      <c r="Q18" s="3" t="s">
        <v>6</v>
      </c>
      <c r="R18" s="1"/>
      <c r="S18" s="89" t="s">
        <v>105</v>
      </c>
      <c r="T18" s="84"/>
      <c r="U18" s="84"/>
      <c r="V18" s="79"/>
    </row>
    <row r="19" spans="1:24" ht="12.75" x14ac:dyDescent="0.2">
      <c r="A19" s="5">
        <v>15</v>
      </c>
      <c r="B19" s="19">
        <v>4752</v>
      </c>
      <c r="C19" s="19">
        <v>0</v>
      </c>
      <c r="D19" s="11"/>
      <c r="E19" s="5">
        <v>15</v>
      </c>
      <c r="F19" s="19">
        <v>27472</v>
      </c>
      <c r="G19" s="19">
        <v>23844</v>
      </c>
      <c r="H19" s="11"/>
      <c r="I19" s="5">
        <v>15</v>
      </c>
      <c r="J19" s="19">
        <v>36200</v>
      </c>
      <c r="K19" s="19">
        <v>0</v>
      </c>
      <c r="L19" s="1"/>
      <c r="M19" s="4" t="s">
        <v>41</v>
      </c>
      <c r="N19" s="20">
        <v>50000</v>
      </c>
      <c r="O19" s="1"/>
      <c r="P19" s="4" t="s">
        <v>42</v>
      </c>
      <c r="Q19" s="5">
        <f>B35+F35+J35</f>
        <v>1758055</v>
      </c>
      <c r="R19" s="1"/>
      <c r="S19" s="16" t="s">
        <v>106</v>
      </c>
      <c r="T19" s="16" t="s">
        <v>68</v>
      </c>
      <c r="U19" s="16" t="s">
        <v>107</v>
      </c>
      <c r="V19" s="16" t="s">
        <v>108</v>
      </c>
      <c r="X19" s="16" t="s">
        <v>109</v>
      </c>
    </row>
    <row r="20" spans="1:24" ht="12.75" x14ac:dyDescent="0.2">
      <c r="A20" s="5">
        <v>16</v>
      </c>
      <c r="B20" s="19">
        <v>9640</v>
      </c>
      <c r="C20" s="19">
        <v>6526</v>
      </c>
      <c r="D20" s="11"/>
      <c r="E20" s="5">
        <v>16</v>
      </c>
      <c r="F20" s="19">
        <v>28649</v>
      </c>
      <c r="G20" s="19">
        <v>17108</v>
      </c>
      <c r="H20" s="11"/>
      <c r="I20" s="5">
        <v>16</v>
      </c>
      <c r="J20" s="19">
        <v>800</v>
      </c>
      <c r="K20" s="19">
        <v>0</v>
      </c>
      <c r="L20" s="11"/>
      <c r="M20" s="4" t="s">
        <v>43</v>
      </c>
      <c r="N20" s="19">
        <v>46420</v>
      </c>
      <c r="O20" s="1"/>
      <c r="P20" s="4" t="s">
        <v>44</v>
      </c>
      <c r="Q20" s="5">
        <f>C35+G35+K35+N15+N30+N55</f>
        <v>1149077</v>
      </c>
      <c r="R20" s="1"/>
      <c r="S20" s="16">
        <v>1</v>
      </c>
      <c r="T20" s="16"/>
      <c r="U20" s="50"/>
      <c r="V20" s="50"/>
      <c r="X20" s="16"/>
    </row>
    <row r="21" spans="1:24" ht="12.75" x14ac:dyDescent="0.2">
      <c r="A21" s="5">
        <v>17</v>
      </c>
      <c r="B21" s="19">
        <v>8521</v>
      </c>
      <c r="C21" s="19">
        <v>8147</v>
      </c>
      <c r="D21" s="11"/>
      <c r="E21" s="5">
        <v>17</v>
      </c>
      <c r="F21" s="19">
        <v>43936</v>
      </c>
      <c r="G21" s="19">
        <v>22486</v>
      </c>
      <c r="H21" s="11"/>
      <c r="I21" s="5">
        <v>17</v>
      </c>
      <c r="J21" s="19">
        <v>0</v>
      </c>
      <c r="K21" s="19">
        <v>0</v>
      </c>
      <c r="L21" s="1"/>
      <c r="M21" s="4" t="s">
        <v>46</v>
      </c>
      <c r="N21" s="20">
        <v>3000</v>
      </c>
      <c r="O21" s="1"/>
      <c r="P21" s="26" t="s">
        <v>47</v>
      </c>
      <c r="Q21" s="27">
        <f>Q19-Q20</f>
        <v>608978</v>
      </c>
      <c r="R21" s="1"/>
      <c r="S21" s="16">
        <v>2</v>
      </c>
      <c r="T21" s="16"/>
      <c r="U21" s="16"/>
      <c r="V21" s="50"/>
      <c r="X21" s="16"/>
    </row>
    <row r="22" spans="1:24" ht="12.75" x14ac:dyDescent="0.2">
      <c r="A22" s="5">
        <v>18</v>
      </c>
      <c r="B22" s="19">
        <v>8250</v>
      </c>
      <c r="C22" s="19">
        <v>4598</v>
      </c>
      <c r="D22" s="11"/>
      <c r="E22" s="5">
        <v>18</v>
      </c>
      <c r="F22" s="19">
        <v>37296</v>
      </c>
      <c r="G22" s="19">
        <v>19391</v>
      </c>
      <c r="H22" s="11"/>
      <c r="I22" s="5">
        <v>18</v>
      </c>
      <c r="J22" s="19">
        <v>21000</v>
      </c>
      <c r="K22" s="19">
        <v>0</v>
      </c>
      <c r="L22" s="1"/>
      <c r="M22" s="4"/>
      <c r="N22" s="19"/>
      <c r="O22" s="1"/>
      <c r="P22" s="4" t="s">
        <v>49</v>
      </c>
      <c r="Q22" s="20">
        <v>35000</v>
      </c>
      <c r="R22" s="1"/>
      <c r="S22" s="16">
        <v>3</v>
      </c>
      <c r="T22" s="50"/>
      <c r="U22" s="16"/>
      <c r="V22" s="50"/>
      <c r="X22" s="16"/>
    </row>
    <row r="23" spans="1:24" ht="12.75" x14ac:dyDescent="0.2">
      <c r="A23" s="5">
        <v>19</v>
      </c>
      <c r="B23" s="20">
        <v>5180</v>
      </c>
      <c r="C23" s="67">
        <v>3999</v>
      </c>
      <c r="D23" s="11"/>
      <c r="E23" s="5">
        <v>19</v>
      </c>
      <c r="F23" s="19">
        <v>39800</v>
      </c>
      <c r="G23" s="19">
        <v>31935</v>
      </c>
      <c r="H23" s="11"/>
      <c r="I23" s="5">
        <v>19</v>
      </c>
      <c r="J23" s="19">
        <v>26600</v>
      </c>
      <c r="K23" s="19">
        <v>0</v>
      </c>
      <c r="L23" s="1"/>
      <c r="M23" s="4" t="s">
        <v>50</v>
      </c>
      <c r="N23" s="20">
        <v>2490</v>
      </c>
      <c r="O23" s="1"/>
      <c r="P23" s="11" t="s">
        <v>133</v>
      </c>
      <c r="Q23" s="1">
        <f>C35+G35+K35</f>
        <v>760567</v>
      </c>
      <c r="R23" s="1"/>
      <c r="S23" s="16">
        <v>4</v>
      </c>
      <c r="T23" s="16"/>
      <c r="U23" s="16"/>
      <c r="V23" s="50"/>
      <c r="X23" s="16"/>
    </row>
    <row r="24" spans="1:24" ht="12.75" x14ac:dyDescent="0.2">
      <c r="A24" s="5">
        <v>20</v>
      </c>
      <c r="B24" s="19">
        <v>9012</v>
      </c>
      <c r="C24" s="19">
        <v>6974</v>
      </c>
      <c r="D24" s="11"/>
      <c r="E24" s="5">
        <v>20</v>
      </c>
      <c r="F24" s="19">
        <v>41158</v>
      </c>
      <c r="G24" s="19">
        <v>15392</v>
      </c>
      <c r="H24" s="11"/>
      <c r="I24" s="5">
        <v>20</v>
      </c>
      <c r="J24" s="19">
        <v>0</v>
      </c>
      <c r="K24" s="19">
        <v>0</v>
      </c>
      <c r="L24" s="1"/>
      <c r="M24" s="4" t="s">
        <v>51</v>
      </c>
      <c r="N24" s="20">
        <v>5000</v>
      </c>
      <c r="O24" s="1"/>
      <c r="P24" s="1"/>
      <c r="Q24" s="1"/>
      <c r="R24" s="1"/>
      <c r="S24" s="16">
        <v>5</v>
      </c>
      <c r="T24" s="16"/>
      <c r="U24" s="16"/>
      <c r="V24" s="50"/>
      <c r="X24" s="16"/>
    </row>
    <row r="25" spans="1:24" ht="12.75" x14ac:dyDescent="0.2">
      <c r="A25" s="5">
        <v>21</v>
      </c>
      <c r="B25" s="19">
        <v>0</v>
      </c>
      <c r="C25" s="19">
        <v>0</v>
      </c>
      <c r="D25" s="11"/>
      <c r="E25" s="5">
        <v>21</v>
      </c>
      <c r="F25" s="19">
        <v>25645</v>
      </c>
      <c r="G25" s="19">
        <v>15695</v>
      </c>
      <c r="H25" s="11"/>
      <c r="I25" s="5">
        <v>21</v>
      </c>
      <c r="J25" s="19">
        <v>800</v>
      </c>
      <c r="K25" s="19">
        <v>0</v>
      </c>
      <c r="L25" s="11"/>
      <c r="M25" s="19"/>
      <c r="N25" s="4"/>
      <c r="O25" s="1"/>
      <c r="P25" s="1"/>
      <c r="Q25" s="1"/>
      <c r="R25" s="1"/>
      <c r="S25" s="16">
        <v>6</v>
      </c>
      <c r="T25" s="16"/>
      <c r="U25" s="16"/>
      <c r="V25" s="50"/>
      <c r="X25" s="16"/>
    </row>
    <row r="26" spans="1:24" ht="12.75" x14ac:dyDescent="0.2">
      <c r="A26" s="5">
        <v>22</v>
      </c>
      <c r="B26" s="19">
        <v>9423</v>
      </c>
      <c r="C26" s="19">
        <v>4123</v>
      </c>
      <c r="D26" s="11"/>
      <c r="E26" s="5">
        <v>22</v>
      </c>
      <c r="F26" s="19">
        <v>23188</v>
      </c>
      <c r="G26" s="19">
        <v>33453</v>
      </c>
      <c r="H26" s="11"/>
      <c r="I26" s="5">
        <v>22</v>
      </c>
      <c r="J26" s="19">
        <v>26700</v>
      </c>
      <c r="K26" s="19">
        <v>0</v>
      </c>
      <c r="L26" s="1"/>
      <c r="M26" s="19" t="s">
        <v>145</v>
      </c>
      <c r="N26" s="19">
        <v>50000</v>
      </c>
      <c r="O26" s="1"/>
      <c r="P26" s="1"/>
      <c r="Q26" s="1"/>
      <c r="R26" s="1"/>
      <c r="S26" s="16">
        <v>7</v>
      </c>
      <c r="T26" s="50"/>
      <c r="U26" s="16"/>
      <c r="V26" s="50"/>
      <c r="X26" s="16"/>
    </row>
    <row r="27" spans="1:24" ht="15.75" customHeight="1" x14ac:dyDescent="0.4">
      <c r="A27" s="5">
        <v>23</v>
      </c>
      <c r="B27" s="19">
        <v>10262</v>
      </c>
      <c r="C27" s="19">
        <v>8701</v>
      </c>
      <c r="D27" s="11"/>
      <c r="E27" s="5">
        <v>23</v>
      </c>
      <c r="F27" s="19">
        <v>23936</v>
      </c>
      <c r="G27" s="19">
        <v>13542</v>
      </c>
      <c r="H27" s="11"/>
      <c r="I27" s="5">
        <v>23</v>
      </c>
      <c r="J27" s="19">
        <v>3900</v>
      </c>
      <c r="K27" s="19">
        <v>0</v>
      </c>
      <c r="L27" s="1"/>
      <c r="M27" s="19"/>
      <c r="N27" s="19"/>
      <c r="O27" s="1"/>
      <c r="P27" s="19" t="s">
        <v>139</v>
      </c>
      <c r="Q27" s="63">
        <f>(N15+N55)-Z17</f>
        <v>231600</v>
      </c>
      <c r="R27" s="1"/>
      <c r="S27" s="16">
        <v>8</v>
      </c>
      <c r="T27" s="50"/>
      <c r="U27" s="16"/>
      <c r="V27" s="50"/>
      <c r="X27" s="16"/>
    </row>
    <row r="28" spans="1:24" ht="15.75" customHeight="1" x14ac:dyDescent="0.4">
      <c r="A28" s="5">
        <v>24</v>
      </c>
      <c r="B28" s="19">
        <v>10562</v>
      </c>
      <c r="C28" s="19">
        <v>9377</v>
      </c>
      <c r="D28" s="11"/>
      <c r="E28" s="5">
        <v>24</v>
      </c>
      <c r="F28" s="19">
        <v>54325</v>
      </c>
      <c r="G28" s="19">
        <v>11458</v>
      </c>
      <c r="H28" s="11"/>
      <c r="I28" s="5">
        <v>24</v>
      </c>
      <c r="J28" s="19">
        <v>16700</v>
      </c>
      <c r="K28" s="19">
        <v>0</v>
      </c>
      <c r="L28" s="1"/>
      <c r="M28" s="4"/>
      <c r="N28" s="4"/>
      <c r="O28" s="1"/>
      <c r="P28" s="19" t="s">
        <v>140</v>
      </c>
      <c r="Q28" s="64">
        <f>O44</f>
        <v>74000</v>
      </c>
      <c r="R28" s="1"/>
      <c r="S28" s="16">
        <v>9</v>
      </c>
      <c r="T28" s="16"/>
      <c r="U28" s="16"/>
      <c r="V28" s="50"/>
      <c r="X28" s="16"/>
    </row>
    <row r="29" spans="1:24" ht="12.75" x14ac:dyDescent="0.2">
      <c r="A29" s="5">
        <v>25</v>
      </c>
      <c r="B29" s="19">
        <v>7096</v>
      </c>
      <c r="C29" s="19">
        <v>5890</v>
      </c>
      <c r="D29" s="11"/>
      <c r="E29" s="5">
        <v>25</v>
      </c>
      <c r="F29" s="19">
        <v>27443</v>
      </c>
      <c r="G29" s="19">
        <v>29176</v>
      </c>
      <c r="H29" s="11"/>
      <c r="I29" s="5">
        <v>25</v>
      </c>
      <c r="J29" s="19">
        <v>26500</v>
      </c>
      <c r="K29" s="19">
        <v>0</v>
      </c>
      <c r="L29" s="1"/>
      <c r="M29" s="4"/>
      <c r="N29" s="4"/>
      <c r="O29" s="1"/>
      <c r="P29" s="19" t="s">
        <v>141</v>
      </c>
      <c r="Q29" s="4">
        <f>Q27-Q28</f>
        <v>157600</v>
      </c>
      <c r="R29" s="1"/>
      <c r="S29" s="16">
        <v>10</v>
      </c>
      <c r="T29" s="50"/>
      <c r="U29" s="50"/>
      <c r="V29" s="50"/>
      <c r="X29" s="16"/>
    </row>
    <row r="30" spans="1:24" ht="12.75" x14ac:dyDescent="0.2">
      <c r="A30" s="5">
        <v>26</v>
      </c>
      <c r="B30" s="19">
        <v>14050</v>
      </c>
      <c r="C30" s="19">
        <v>11898</v>
      </c>
      <c r="D30" s="11"/>
      <c r="E30" s="5">
        <v>26</v>
      </c>
      <c r="F30" s="19">
        <v>62570</v>
      </c>
      <c r="G30" s="19">
        <v>25747</v>
      </c>
      <c r="H30" s="11"/>
      <c r="I30" s="5">
        <v>26</v>
      </c>
      <c r="J30" s="19">
        <v>35072</v>
      </c>
      <c r="K30" s="19">
        <v>0</v>
      </c>
      <c r="L30" s="1"/>
      <c r="M30" s="12" t="s">
        <v>36</v>
      </c>
      <c r="N30" s="13">
        <f>SUM(N19:N29)</f>
        <v>156910</v>
      </c>
      <c r="O30" s="1"/>
      <c r="P30" s="1"/>
      <c r="Q30" s="11"/>
      <c r="R30" s="1"/>
      <c r="S30" s="16">
        <v>11</v>
      </c>
      <c r="T30" s="16"/>
      <c r="U30" s="16"/>
      <c r="V30" s="50"/>
      <c r="X30" s="16"/>
    </row>
    <row r="31" spans="1:24" ht="12.75" x14ac:dyDescent="0.2">
      <c r="A31" s="5">
        <v>27</v>
      </c>
      <c r="B31" s="19">
        <v>11762</v>
      </c>
      <c r="C31" s="19">
        <v>10182</v>
      </c>
      <c r="D31" s="11"/>
      <c r="E31" s="5">
        <v>27</v>
      </c>
      <c r="F31" s="19">
        <v>54107</v>
      </c>
      <c r="G31" s="19">
        <v>29068</v>
      </c>
      <c r="H31" s="11"/>
      <c r="I31" s="5">
        <v>27</v>
      </c>
      <c r="J31" s="19">
        <v>800</v>
      </c>
      <c r="K31" s="19">
        <v>0</v>
      </c>
      <c r="L31" s="1"/>
      <c r="M31" s="1"/>
      <c r="N31" s="1"/>
      <c r="O31" s="1"/>
      <c r="P31" s="1"/>
      <c r="Q31" s="1"/>
      <c r="R31" s="1"/>
      <c r="S31" s="16">
        <v>12</v>
      </c>
      <c r="T31" s="50"/>
      <c r="U31" s="50"/>
      <c r="V31" s="50"/>
      <c r="X31" s="16"/>
    </row>
    <row r="32" spans="1:24" ht="12.75" x14ac:dyDescent="0.2">
      <c r="A32" s="5">
        <v>28</v>
      </c>
      <c r="B32" s="19">
        <v>0</v>
      </c>
      <c r="C32" s="19">
        <v>0</v>
      </c>
      <c r="D32" s="11"/>
      <c r="E32" s="5">
        <v>28</v>
      </c>
      <c r="F32" s="19">
        <v>39110</v>
      </c>
      <c r="G32" s="19">
        <v>14245</v>
      </c>
      <c r="H32" s="1"/>
      <c r="I32" s="5">
        <v>28</v>
      </c>
      <c r="J32" s="19">
        <v>15200</v>
      </c>
      <c r="K32" s="19">
        <v>0</v>
      </c>
      <c r="L32" s="1"/>
      <c r="M32" s="81" t="s">
        <v>53</v>
      </c>
      <c r="N32" s="79"/>
      <c r="O32" s="1"/>
      <c r="P32" s="1"/>
      <c r="Q32" s="1"/>
      <c r="R32" s="1"/>
      <c r="S32" s="16">
        <v>13</v>
      </c>
      <c r="T32" s="16"/>
      <c r="U32" s="16"/>
      <c r="V32" s="50"/>
      <c r="X32" s="16"/>
    </row>
    <row r="33" spans="1:24" ht="12.75" x14ac:dyDescent="0.2">
      <c r="A33" s="5">
        <v>29</v>
      </c>
      <c r="B33" s="19">
        <v>7946</v>
      </c>
      <c r="C33" s="19">
        <v>5150</v>
      </c>
      <c r="D33" s="11"/>
      <c r="E33" s="5">
        <v>29</v>
      </c>
      <c r="F33" s="19">
        <v>27143</v>
      </c>
      <c r="G33" s="19">
        <v>28373</v>
      </c>
      <c r="H33" s="1"/>
      <c r="I33" s="5">
        <v>29</v>
      </c>
      <c r="J33" s="19">
        <v>7800</v>
      </c>
      <c r="K33" s="19">
        <v>0</v>
      </c>
      <c r="L33" s="1"/>
      <c r="M33" s="2" t="s">
        <v>39</v>
      </c>
      <c r="N33" s="3" t="s">
        <v>6</v>
      </c>
      <c r="O33" s="1"/>
      <c r="P33" s="1"/>
      <c r="Q33" s="1"/>
      <c r="R33" s="1"/>
      <c r="S33" s="16">
        <v>14</v>
      </c>
      <c r="T33" s="16"/>
      <c r="U33" s="16"/>
      <c r="V33" s="50"/>
      <c r="X33" s="16"/>
    </row>
    <row r="34" spans="1:24" ht="12.75" x14ac:dyDescent="0.2">
      <c r="A34" s="5">
        <v>30</v>
      </c>
      <c r="B34" s="19">
        <v>12380</v>
      </c>
      <c r="C34" s="19">
        <v>7690</v>
      </c>
      <c r="D34" s="11"/>
      <c r="E34" s="5">
        <v>30</v>
      </c>
      <c r="F34" s="19">
        <v>44080</v>
      </c>
      <c r="G34" s="19">
        <v>18712</v>
      </c>
      <c r="H34" s="1"/>
      <c r="I34" s="5">
        <v>30</v>
      </c>
      <c r="J34" s="19">
        <v>23000</v>
      </c>
      <c r="K34" s="19">
        <v>0</v>
      </c>
      <c r="L34" s="1"/>
      <c r="M34" s="19"/>
      <c r="N34" s="19"/>
      <c r="O34" s="11"/>
      <c r="P34" s="1"/>
      <c r="Q34" s="1"/>
      <c r="R34" s="1"/>
      <c r="S34" s="16">
        <v>15</v>
      </c>
      <c r="T34" s="50"/>
      <c r="U34" s="50"/>
      <c r="V34" s="50"/>
      <c r="X34" s="16"/>
    </row>
    <row r="35" spans="1:24" ht="12.75" x14ac:dyDescent="0.2">
      <c r="A35" s="12" t="s">
        <v>36</v>
      </c>
      <c r="B35" s="13">
        <f t="shared" ref="B35:C35" si="0">SUM(B5:B34)+B37</f>
        <v>204031</v>
      </c>
      <c r="C35" s="13">
        <f t="shared" si="0"/>
        <v>140820</v>
      </c>
      <c r="D35" s="1"/>
      <c r="E35" s="12" t="s">
        <v>36</v>
      </c>
      <c r="F35" s="13">
        <f t="shared" ref="F35:G35" si="1">SUM(F5:F34)+F37</f>
        <v>1142952</v>
      </c>
      <c r="G35" s="13">
        <f t="shared" si="1"/>
        <v>619747</v>
      </c>
      <c r="H35" s="1"/>
      <c r="I35" s="12" t="s">
        <v>36</v>
      </c>
      <c r="J35" s="13">
        <f t="shared" ref="J35:K35" si="2">SUM(J5:J34)+J37</f>
        <v>411072</v>
      </c>
      <c r="K35" s="13">
        <f t="shared" si="2"/>
        <v>0</v>
      </c>
      <c r="L35" s="1"/>
      <c r="M35" s="19" t="s">
        <v>102</v>
      </c>
      <c r="N35" s="19">
        <v>17000</v>
      </c>
      <c r="O35" s="11">
        <v>6000</v>
      </c>
      <c r="P35" s="1"/>
      <c r="Q35" s="1"/>
      <c r="R35" s="1"/>
      <c r="S35" s="16">
        <v>16</v>
      </c>
      <c r="T35" s="16"/>
      <c r="U35" s="16"/>
      <c r="V35" s="50"/>
      <c r="X35" s="50"/>
    </row>
    <row r="36" spans="1:24" ht="12.75" x14ac:dyDescent="0.2">
      <c r="A36" s="3" t="s">
        <v>56</v>
      </c>
      <c r="B36" s="82">
        <f>B35-C35</f>
        <v>63211</v>
      </c>
      <c r="C36" s="79"/>
      <c r="D36" s="1"/>
      <c r="E36" s="3" t="s">
        <v>56</v>
      </c>
      <c r="F36" s="82">
        <f>F35-G35</f>
        <v>523205</v>
      </c>
      <c r="G36" s="79"/>
      <c r="H36" s="1"/>
      <c r="I36" s="3" t="s">
        <v>56</v>
      </c>
      <c r="J36" s="82">
        <f>J35-K35</f>
        <v>411072</v>
      </c>
      <c r="K36" s="79"/>
      <c r="M36" s="19" t="s">
        <v>112</v>
      </c>
      <c r="N36" s="19">
        <v>11000</v>
      </c>
      <c r="O36" s="11">
        <v>4000</v>
      </c>
      <c r="P36" s="1"/>
      <c r="Q36" s="1"/>
      <c r="R36" s="1"/>
      <c r="S36" s="16">
        <v>17</v>
      </c>
      <c r="T36" s="16"/>
      <c r="U36" s="50"/>
      <c r="V36" s="50"/>
      <c r="X36" s="16"/>
    </row>
    <row r="37" spans="1:24" ht="12.75" x14ac:dyDescent="0.2">
      <c r="A37" s="5">
        <v>31</v>
      </c>
      <c r="B37" s="19"/>
      <c r="C37" s="19"/>
      <c r="D37" s="11"/>
      <c r="E37" s="5">
        <v>31</v>
      </c>
      <c r="F37" s="19"/>
      <c r="G37" s="19"/>
      <c r="H37" s="1"/>
      <c r="I37" s="5">
        <v>31</v>
      </c>
      <c r="J37" s="19"/>
      <c r="K37" s="19"/>
      <c r="L37" s="60"/>
      <c r="M37" s="19" t="s">
        <v>142</v>
      </c>
      <c r="N37" s="19">
        <v>14000</v>
      </c>
      <c r="O37" s="11">
        <v>4000</v>
      </c>
      <c r="P37" s="1"/>
      <c r="Q37" s="1"/>
      <c r="R37" s="11"/>
      <c r="S37" s="16">
        <v>18</v>
      </c>
      <c r="T37" s="16"/>
      <c r="U37" s="16"/>
      <c r="V37" s="50"/>
      <c r="X37" s="16"/>
    </row>
    <row r="38" spans="1:24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4" t="s">
        <v>144</v>
      </c>
      <c r="N38" s="54">
        <v>11000</v>
      </c>
      <c r="O38" s="11">
        <v>3000</v>
      </c>
      <c r="P38" s="1">
        <f>C47-C48-Z17-N26-N27</f>
        <v>947488</v>
      </c>
      <c r="Q38" s="1"/>
      <c r="R38" s="1"/>
      <c r="S38" s="16">
        <v>19</v>
      </c>
      <c r="T38" s="16"/>
      <c r="U38" s="16"/>
      <c r="V38" s="50"/>
      <c r="X38" s="16"/>
    </row>
    <row r="39" spans="1:24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1" t="s">
        <v>146</v>
      </c>
      <c r="M39" s="19" t="s">
        <v>147</v>
      </c>
      <c r="N39" s="19">
        <v>11000</v>
      </c>
      <c r="O39" s="11">
        <v>3000</v>
      </c>
      <c r="P39" s="1"/>
      <c r="Q39" s="1"/>
      <c r="R39" s="1"/>
      <c r="S39" s="16">
        <v>20</v>
      </c>
      <c r="T39" s="50"/>
      <c r="U39" s="16"/>
      <c r="V39" s="50"/>
      <c r="X39" s="16"/>
    </row>
    <row r="40" spans="1:24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1" t="s">
        <v>148</v>
      </c>
      <c r="M40" s="19" t="s">
        <v>149</v>
      </c>
      <c r="N40" s="19">
        <v>5400</v>
      </c>
      <c r="O40" s="1"/>
      <c r="P40" s="1"/>
      <c r="Q40" s="1"/>
      <c r="R40" s="1"/>
      <c r="S40" s="16">
        <v>21</v>
      </c>
      <c r="T40" s="50"/>
      <c r="U40" s="50"/>
      <c r="V40" s="50"/>
      <c r="X40" s="16"/>
    </row>
    <row r="41" spans="1:24" ht="12.75" x14ac:dyDescent="0.2">
      <c r="A41" s="1"/>
      <c r="B41" s="1"/>
      <c r="C41" s="1"/>
      <c r="D41" s="1"/>
      <c r="E41" s="1"/>
      <c r="F41" s="1"/>
      <c r="G41" s="83" t="s">
        <v>130</v>
      </c>
      <c r="H41" s="79"/>
      <c r="I41" s="1"/>
      <c r="J41" s="1"/>
      <c r="K41" s="1"/>
      <c r="L41" s="1"/>
      <c r="M41" s="19" t="s">
        <v>150</v>
      </c>
      <c r="N41" s="19">
        <v>3200</v>
      </c>
      <c r="O41" s="1"/>
      <c r="P41" s="1"/>
      <c r="Q41" s="1"/>
      <c r="R41" s="1"/>
      <c r="S41" s="16">
        <v>22</v>
      </c>
      <c r="T41" s="50"/>
      <c r="U41" s="50"/>
      <c r="V41" s="50"/>
      <c r="X41" s="16"/>
    </row>
    <row r="42" spans="1:24" ht="12.75" x14ac:dyDescent="0.2">
      <c r="A42" s="1"/>
      <c r="B42" s="1"/>
      <c r="C42" s="1"/>
      <c r="D42" s="1"/>
      <c r="E42" s="1"/>
      <c r="F42" s="1"/>
      <c r="G42" s="19" t="s">
        <v>106</v>
      </c>
      <c r="H42" s="19" t="s">
        <v>131</v>
      </c>
      <c r="I42" s="1"/>
      <c r="J42" s="1"/>
      <c r="K42" s="1"/>
      <c r="L42" s="1"/>
      <c r="M42" s="4"/>
      <c r="N42" s="19"/>
      <c r="O42" s="1"/>
      <c r="P42" s="1"/>
      <c r="Q42" s="1"/>
      <c r="R42" s="1"/>
      <c r="S42" s="16">
        <v>23</v>
      </c>
      <c r="T42" s="50"/>
      <c r="U42" s="16"/>
      <c r="V42" s="50"/>
      <c r="X42" s="16"/>
    </row>
    <row r="43" spans="1:24" ht="12.75" x14ac:dyDescent="0.2">
      <c r="A43" s="1"/>
      <c r="B43" s="1"/>
      <c r="C43" s="1"/>
      <c r="D43" s="1"/>
      <c r="E43" s="1"/>
      <c r="F43" s="1"/>
      <c r="G43" s="62"/>
      <c r="H43" s="19"/>
      <c r="I43" s="1"/>
      <c r="J43" s="1"/>
      <c r="K43" s="1"/>
      <c r="L43" s="1"/>
      <c r="M43" s="4"/>
      <c r="N43" s="4"/>
      <c r="O43" s="1"/>
      <c r="P43" s="1"/>
      <c r="Q43" s="1"/>
      <c r="R43" s="1"/>
      <c r="S43" s="16">
        <v>24</v>
      </c>
      <c r="T43" s="50"/>
      <c r="U43" s="50"/>
      <c r="V43" s="50"/>
      <c r="X43" s="16"/>
    </row>
    <row r="44" spans="1:24" ht="12.75" x14ac:dyDescent="0.2">
      <c r="A44" s="1"/>
      <c r="B44" s="1"/>
      <c r="C44" s="1"/>
      <c r="D44" s="1"/>
      <c r="E44" s="1"/>
      <c r="F44" s="1"/>
      <c r="G44" s="62"/>
      <c r="H44" s="19"/>
      <c r="I44" s="1"/>
      <c r="J44" s="1"/>
      <c r="K44" s="1"/>
      <c r="L44" s="1"/>
      <c r="M44" s="4"/>
      <c r="N44" s="4"/>
      <c r="O44" s="1">
        <f>SUM(O4:O43)</f>
        <v>74000</v>
      </c>
      <c r="P44" s="1"/>
      <c r="Q44" s="1"/>
      <c r="R44" s="1"/>
      <c r="S44" s="16">
        <v>25</v>
      </c>
      <c r="T44" s="16"/>
      <c r="U44" s="16"/>
      <c r="V44" s="50"/>
      <c r="X44" s="16"/>
    </row>
    <row r="45" spans="1:24" ht="12.75" x14ac:dyDescent="0.2">
      <c r="A45" s="1"/>
      <c r="B45" s="1"/>
      <c r="C45" s="1"/>
      <c r="D45" s="1"/>
      <c r="E45" s="1"/>
      <c r="F45" s="1"/>
      <c r="G45" s="62"/>
      <c r="H45" s="19"/>
      <c r="I45" s="1"/>
      <c r="J45" s="1"/>
      <c r="K45" s="1"/>
      <c r="L45" s="1"/>
      <c r="M45" s="4"/>
      <c r="N45" s="4"/>
      <c r="O45" s="1"/>
      <c r="P45" s="1"/>
      <c r="Q45" s="1"/>
      <c r="R45" s="1"/>
      <c r="S45" s="16">
        <v>26</v>
      </c>
      <c r="T45" s="16"/>
      <c r="U45" s="16"/>
      <c r="V45" s="50"/>
      <c r="X45" s="50"/>
    </row>
    <row r="46" spans="1:24" ht="12.75" x14ac:dyDescent="0.2">
      <c r="A46" s="1"/>
      <c r="B46" s="1"/>
      <c r="C46" s="1"/>
      <c r="D46" s="1"/>
      <c r="E46" s="1"/>
      <c r="F46" s="1"/>
      <c r="G46" s="62"/>
      <c r="H46" s="19"/>
      <c r="I46" s="1"/>
      <c r="J46" s="1"/>
      <c r="K46" s="1"/>
      <c r="L46" s="1"/>
      <c r="M46" s="4"/>
      <c r="N46" s="4"/>
      <c r="O46" s="1"/>
      <c r="P46" s="1"/>
      <c r="Q46" s="1"/>
      <c r="R46" s="1"/>
      <c r="S46" s="16">
        <v>27</v>
      </c>
      <c r="T46" s="16"/>
      <c r="U46" s="16"/>
      <c r="V46" s="50"/>
      <c r="X46" s="16"/>
    </row>
    <row r="47" spans="1:24" ht="12.75" x14ac:dyDescent="0.2">
      <c r="A47" s="1"/>
      <c r="B47" s="1"/>
      <c r="C47" s="1">
        <f>(B35+F35+J35)</f>
        <v>1758055</v>
      </c>
      <c r="D47" s="1"/>
      <c r="E47" s="1"/>
      <c r="F47" s="1"/>
      <c r="G47" s="62"/>
      <c r="H47" s="19"/>
      <c r="I47" s="1"/>
      <c r="J47" s="1"/>
      <c r="K47" s="1"/>
      <c r="L47" s="1"/>
      <c r="M47" s="4"/>
      <c r="N47" s="4"/>
      <c r="O47" s="1"/>
      <c r="P47" s="1"/>
      <c r="Q47" s="1"/>
      <c r="R47" s="1"/>
      <c r="S47" s="16">
        <v>28</v>
      </c>
      <c r="T47" s="50"/>
      <c r="U47" s="16"/>
      <c r="V47" s="50"/>
      <c r="X47" s="16"/>
    </row>
    <row r="48" spans="1:24" ht="12.75" x14ac:dyDescent="0.2">
      <c r="A48" s="1"/>
      <c r="B48" s="1"/>
      <c r="C48" s="42">
        <f>C35+G35</f>
        <v>760567</v>
      </c>
      <c r="D48" s="1"/>
      <c r="E48" s="1"/>
      <c r="F48" s="1"/>
      <c r="G48" s="62"/>
      <c r="H48" s="19"/>
      <c r="I48" s="1"/>
      <c r="J48" s="1"/>
      <c r="K48" s="1"/>
      <c r="L48" s="1"/>
      <c r="M48" s="4"/>
      <c r="N48" s="4"/>
      <c r="O48" s="1"/>
      <c r="P48" s="11">
        <v>105100</v>
      </c>
      <c r="Q48" s="1"/>
      <c r="R48" s="1"/>
      <c r="S48" s="16">
        <v>29</v>
      </c>
      <c r="T48" s="16"/>
      <c r="U48" s="50"/>
      <c r="V48" s="50"/>
      <c r="X48" s="16"/>
    </row>
    <row r="49" spans="1:24" ht="12.75" x14ac:dyDescent="0.2">
      <c r="A49" s="1"/>
      <c r="B49" s="1"/>
      <c r="C49" s="1">
        <f>C48/C47</f>
        <v>0.43261843343922685</v>
      </c>
      <c r="D49" s="1"/>
      <c r="E49" s="1"/>
      <c r="F49" s="1"/>
      <c r="G49" s="62"/>
      <c r="H49" s="19"/>
      <c r="I49" s="1"/>
      <c r="J49" s="1"/>
      <c r="K49" s="1"/>
      <c r="L49" s="1"/>
      <c r="M49" s="4"/>
      <c r="N49" s="4"/>
      <c r="O49" s="1"/>
      <c r="P49" s="1"/>
      <c r="Q49" s="1"/>
      <c r="R49" s="1"/>
      <c r="S49" s="16">
        <v>30</v>
      </c>
      <c r="T49" s="16"/>
      <c r="U49" s="16"/>
      <c r="V49" s="50"/>
      <c r="X49" s="16"/>
    </row>
    <row r="50" spans="1:24" ht="12.75" x14ac:dyDescent="0.2">
      <c r="A50" s="1"/>
      <c r="B50" s="1"/>
      <c r="C50" s="1"/>
      <c r="D50" s="1"/>
      <c r="E50" s="1"/>
      <c r="F50" s="1"/>
      <c r="G50" s="21"/>
      <c r="H50" s="19"/>
      <c r="I50" s="1"/>
      <c r="J50" s="1"/>
      <c r="K50" s="1"/>
      <c r="L50" s="1"/>
      <c r="M50" s="4"/>
      <c r="N50" s="4"/>
      <c r="O50" s="1"/>
      <c r="P50" s="1"/>
      <c r="Q50" s="1"/>
      <c r="R50" s="1"/>
      <c r="S50" s="58" t="s">
        <v>116</v>
      </c>
      <c r="T50" s="59">
        <f t="shared" ref="T50:V50" si="3">SUM(T20:T49)</f>
        <v>0</v>
      </c>
      <c r="U50" s="59">
        <f t="shared" si="3"/>
        <v>0</v>
      </c>
      <c r="V50" s="59">
        <f t="shared" si="3"/>
        <v>0</v>
      </c>
      <c r="X50" s="50"/>
    </row>
    <row r="51" spans="1:24" ht="12.75" x14ac:dyDescent="0.2">
      <c r="A51" s="1"/>
      <c r="B51" s="1"/>
      <c r="C51" s="1"/>
      <c r="D51" s="1"/>
      <c r="E51" s="1"/>
      <c r="F51" s="1"/>
      <c r="G51" s="4"/>
      <c r="H51" s="4"/>
      <c r="I51" s="1"/>
      <c r="J51" s="1"/>
      <c r="K51" s="1"/>
      <c r="L51" s="1"/>
      <c r="M51" s="4"/>
      <c r="N51" s="4"/>
      <c r="O51" s="1"/>
      <c r="P51" s="1"/>
      <c r="Q51" s="1"/>
      <c r="R51" s="1"/>
      <c r="X51" s="42">
        <f>SUM(X20:X50)</f>
        <v>0</v>
      </c>
    </row>
    <row r="52" spans="1:24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4"/>
      <c r="O52" s="1"/>
      <c r="P52" s="1"/>
      <c r="Q52" s="1"/>
      <c r="R52" s="1"/>
    </row>
    <row r="53" spans="1:24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4"/>
      <c r="O53" s="1"/>
      <c r="P53" s="1"/>
      <c r="Q53" s="1"/>
      <c r="R53" s="1"/>
    </row>
    <row r="54" spans="1:24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4"/>
      <c r="O54" s="1"/>
      <c r="P54" s="1"/>
      <c r="Q54" s="1"/>
      <c r="R54" s="1"/>
    </row>
    <row r="55" spans="1:24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 t="s">
        <v>36</v>
      </c>
      <c r="N55" s="5">
        <f>SUM(N34:N54)</f>
        <v>72600</v>
      </c>
      <c r="O55" s="1"/>
      <c r="P55" s="1"/>
      <c r="Q55" s="1"/>
      <c r="R55" s="1"/>
      <c r="S55" s="1"/>
      <c r="T55" s="1"/>
    </row>
  </sheetData>
  <mergeCells count="13">
    <mergeCell ref="S18:V18"/>
    <mergeCell ref="G41:H41"/>
    <mergeCell ref="A1:P1"/>
    <mergeCell ref="M2:N2"/>
    <mergeCell ref="A3:C3"/>
    <mergeCell ref="E3:G3"/>
    <mergeCell ref="I3:K3"/>
    <mergeCell ref="P17:Q17"/>
    <mergeCell ref="M17:N17"/>
    <mergeCell ref="M32:N32"/>
    <mergeCell ref="B36:C36"/>
    <mergeCell ref="F36:G36"/>
    <mergeCell ref="J36:K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S55"/>
  <sheetViews>
    <sheetView topLeftCell="A52" workbookViewId="0">
      <selection activeCell="N55" sqref="N55"/>
    </sheetView>
  </sheetViews>
  <sheetFormatPr defaultColWidth="12.5703125" defaultRowHeight="15.75" customHeight="1" x14ac:dyDescent="0.2"/>
  <cols>
    <col min="1" max="2" width="6.42578125" customWidth="1"/>
    <col min="3" max="3" width="6.5703125" customWidth="1"/>
    <col min="4" max="4" width="5.42578125" customWidth="1"/>
    <col min="5" max="5" width="6.7109375" customWidth="1"/>
    <col min="6" max="6" width="6.42578125" customWidth="1"/>
    <col min="7" max="7" width="6.5703125" customWidth="1"/>
    <col min="8" max="8" width="6.28515625" customWidth="1"/>
    <col min="9" max="9" width="5.42578125" customWidth="1"/>
    <col min="10" max="10" width="6.42578125" customWidth="1"/>
    <col min="11" max="11" width="6.5703125" customWidth="1"/>
    <col min="12" max="12" width="6.140625" customWidth="1"/>
    <col min="13" max="13" width="12.85546875" customWidth="1"/>
    <col min="14" max="14" width="6.7109375" customWidth="1"/>
    <col min="15" max="15" width="5.5703125" customWidth="1"/>
    <col min="16" max="16" width="11.42578125" customWidth="1"/>
    <col min="17" max="17" width="7.140625" customWidth="1"/>
  </cols>
  <sheetData>
    <row r="1" spans="1:17" ht="12.75" x14ac:dyDescent="0.2">
      <c r="A1" s="80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79"/>
      <c r="Q1" s="1"/>
    </row>
    <row r="2" spans="1:17" ht="12.7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5" t="s">
        <v>1</v>
      </c>
      <c r="N2" s="79"/>
      <c r="O2" s="1"/>
      <c r="P2" s="1"/>
      <c r="Q2" s="1"/>
    </row>
    <row r="3" spans="1:17" ht="12.75" x14ac:dyDescent="0.2">
      <c r="A3" s="86" t="s">
        <v>2</v>
      </c>
      <c r="B3" s="84"/>
      <c r="C3" s="79"/>
      <c r="D3" s="1"/>
      <c r="E3" s="87" t="s">
        <v>3</v>
      </c>
      <c r="F3" s="84"/>
      <c r="G3" s="79"/>
      <c r="H3" s="1"/>
      <c r="I3" s="88" t="s">
        <v>4</v>
      </c>
      <c r="J3" s="84"/>
      <c r="K3" s="79"/>
      <c r="L3" s="1"/>
      <c r="M3" s="2" t="s">
        <v>5</v>
      </c>
      <c r="N3" s="3" t="s">
        <v>6</v>
      </c>
      <c r="O3" s="1"/>
      <c r="P3" s="1"/>
      <c r="Q3" s="1"/>
    </row>
    <row r="4" spans="1:17" ht="12.75" x14ac:dyDescent="0.2">
      <c r="A4" s="4" t="s">
        <v>7</v>
      </c>
      <c r="B4" s="4" t="s">
        <v>8</v>
      </c>
      <c r="C4" s="4" t="s">
        <v>9</v>
      </c>
      <c r="D4" s="1"/>
      <c r="E4" s="4" t="s">
        <v>7</v>
      </c>
      <c r="F4" s="4" t="s">
        <v>8</v>
      </c>
      <c r="G4" s="4" t="s">
        <v>9</v>
      </c>
      <c r="H4" s="1"/>
      <c r="I4" s="4" t="s">
        <v>7</v>
      </c>
      <c r="J4" s="4" t="s">
        <v>8</v>
      </c>
      <c r="K4" s="4" t="s">
        <v>9</v>
      </c>
      <c r="L4" s="1"/>
      <c r="M4" s="16" t="s">
        <v>69</v>
      </c>
      <c r="N4" s="16">
        <v>19000</v>
      </c>
      <c r="O4" s="11">
        <v>7000</v>
      </c>
      <c r="P4" s="1"/>
      <c r="Q4" s="1"/>
    </row>
    <row r="5" spans="1:17" ht="12.75" x14ac:dyDescent="0.2">
      <c r="A5" s="5">
        <v>1</v>
      </c>
      <c r="B5" s="20">
        <v>15088</v>
      </c>
      <c r="C5" s="20">
        <v>13452</v>
      </c>
      <c r="D5" s="11"/>
      <c r="E5" s="5">
        <v>1</v>
      </c>
      <c r="F5" s="20">
        <v>44825</v>
      </c>
      <c r="G5" s="20">
        <v>20396</v>
      </c>
      <c r="H5" s="7"/>
      <c r="I5" s="5">
        <v>1</v>
      </c>
      <c r="J5" s="20">
        <v>5800</v>
      </c>
      <c r="K5" s="20">
        <v>0</v>
      </c>
      <c r="L5" s="1"/>
      <c r="M5" s="4" t="s">
        <v>12</v>
      </c>
      <c r="N5" s="20">
        <v>20000</v>
      </c>
      <c r="O5" s="11">
        <v>7000</v>
      </c>
      <c r="P5" s="1"/>
      <c r="Q5" s="1"/>
    </row>
    <row r="6" spans="1:17" ht="12.75" x14ac:dyDescent="0.2">
      <c r="A6" s="5">
        <v>2</v>
      </c>
      <c r="B6" s="20">
        <v>4940</v>
      </c>
      <c r="C6" s="20">
        <v>3777</v>
      </c>
      <c r="D6" s="29"/>
      <c r="E6" s="5">
        <v>2</v>
      </c>
      <c r="F6" s="20">
        <v>26120</v>
      </c>
      <c r="G6" s="20">
        <v>21565</v>
      </c>
      <c r="H6" s="7"/>
      <c r="I6" s="5">
        <v>2</v>
      </c>
      <c r="J6" s="20">
        <v>16500</v>
      </c>
      <c r="K6" s="20">
        <v>0</v>
      </c>
      <c r="L6" s="11"/>
      <c r="M6" s="4" t="s">
        <v>15</v>
      </c>
      <c r="N6" s="20">
        <v>18000</v>
      </c>
      <c r="O6" s="11">
        <v>6000</v>
      </c>
      <c r="P6" s="1"/>
      <c r="Q6" s="1"/>
    </row>
    <row r="7" spans="1:17" ht="12.75" x14ac:dyDescent="0.2">
      <c r="A7" s="5">
        <v>3</v>
      </c>
      <c r="B7" s="20">
        <v>8360</v>
      </c>
      <c r="C7" s="20">
        <v>5490</v>
      </c>
      <c r="D7" s="7"/>
      <c r="E7" s="5">
        <v>3</v>
      </c>
      <c r="F7" s="20">
        <v>35617</v>
      </c>
      <c r="G7" s="20">
        <v>10665</v>
      </c>
      <c r="H7" s="7"/>
      <c r="I7" s="5">
        <v>3</v>
      </c>
      <c r="J7" s="20">
        <v>12500</v>
      </c>
      <c r="K7" s="20">
        <v>0</v>
      </c>
      <c r="L7" s="11"/>
      <c r="M7" s="4" t="s">
        <v>19</v>
      </c>
      <c r="N7" s="20">
        <v>16700</v>
      </c>
      <c r="O7" s="11">
        <v>5000</v>
      </c>
      <c r="P7" s="1"/>
      <c r="Q7" s="1"/>
    </row>
    <row r="8" spans="1:17" ht="12.75" x14ac:dyDescent="0.2">
      <c r="A8" s="5">
        <v>4</v>
      </c>
      <c r="B8" s="19">
        <v>4733</v>
      </c>
      <c r="C8" s="19">
        <v>3405</v>
      </c>
      <c r="D8" s="11"/>
      <c r="E8" s="5">
        <v>4</v>
      </c>
      <c r="F8" s="19">
        <v>50607</v>
      </c>
      <c r="G8" s="19">
        <v>10880</v>
      </c>
      <c r="H8" s="11"/>
      <c r="I8" s="5">
        <v>4</v>
      </c>
      <c r="J8" s="19">
        <v>800</v>
      </c>
      <c r="K8" s="19">
        <v>0</v>
      </c>
      <c r="L8" s="1"/>
      <c r="M8" s="4" t="s">
        <v>22</v>
      </c>
      <c r="N8" s="20">
        <v>13000</v>
      </c>
      <c r="O8" s="11">
        <v>4000</v>
      </c>
      <c r="P8" s="1"/>
      <c r="Q8" s="1"/>
    </row>
    <row r="9" spans="1:17" ht="12.75" x14ac:dyDescent="0.2">
      <c r="A9" s="5">
        <v>5</v>
      </c>
      <c r="B9" s="19">
        <v>0</v>
      </c>
      <c r="C9" s="19">
        <v>0</v>
      </c>
      <c r="D9" s="11" t="s">
        <v>21</v>
      </c>
      <c r="E9" s="5">
        <v>5</v>
      </c>
      <c r="F9" s="19">
        <v>11940</v>
      </c>
      <c r="G9" s="19">
        <v>21466</v>
      </c>
      <c r="H9" s="11"/>
      <c r="I9" s="5">
        <v>5</v>
      </c>
      <c r="J9" s="19">
        <v>27300</v>
      </c>
      <c r="K9" s="19">
        <v>0</v>
      </c>
      <c r="L9" s="1"/>
      <c r="M9" s="4"/>
      <c r="N9" s="20"/>
      <c r="O9" s="11"/>
      <c r="P9" s="1"/>
      <c r="Q9" s="1"/>
    </row>
    <row r="10" spans="1:17" ht="12.75" x14ac:dyDescent="0.2">
      <c r="A10" s="5">
        <v>6</v>
      </c>
      <c r="B10" s="19">
        <v>5885</v>
      </c>
      <c r="C10" s="19">
        <v>4596</v>
      </c>
      <c r="D10" s="11"/>
      <c r="E10" s="5">
        <v>6</v>
      </c>
      <c r="F10" s="19">
        <v>20458</v>
      </c>
      <c r="G10" s="19">
        <v>10491</v>
      </c>
      <c r="H10" s="11"/>
      <c r="I10" s="5">
        <v>6</v>
      </c>
      <c r="J10" s="19">
        <v>3100</v>
      </c>
      <c r="K10" s="19">
        <v>0</v>
      </c>
      <c r="L10" s="11"/>
      <c r="M10" s="19" t="s">
        <v>29</v>
      </c>
      <c r="N10" s="20">
        <v>19350</v>
      </c>
      <c r="O10" s="11">
        <v>7000</v>
      </c>
      <c r="P10" s="1"/>
      <c r="Q10" s="1"/>
    </row>
    <row r="11" spans="1:17" ht="12.75" x14ac:dyDescent="0.2">
      <c r="A11" s="5">
        <v>7</v>
      </c>
      <c r="B11" s="19">
        <v>7471</v>
      </c>
      <c r="C11" s="19">
        <v>6606</v>
      </c>
      <c r="D11" s="11"/>
      <c r="E11" s="5">
        <v>7</v>
      </c>
      <c r="F11" s="19">
        <v>22830</v>
      </c>
      <c r="G11" s="19">
        <v>18045</v>
      </c>
      <c r="H11" s="11"/>
      <c r="I11" s="5">
        <v>7</v>
      </c>
      <c r="J11" s="19">
        <v>17000</v>
      </c>
      <c r="K11" s="19">
        <v>0</v>
      </c>
      <c r="L11" s="11"/>
      <c r="M11" s="19" t="s">
        <v>128</v>
      </c>
      <c r="N11" s="20">
        <v>16000</v>
      </c>
      <c r="O11" s="40">
        <v>5000</v>
      </c>
      <c r="P11" s="1"/>
      <c r="Q11" s="1"/>
    </row>
    <row r="12" spans="1:17" ht="12.75" x14ac:dyDescent="0.2">
      <c r="A12" s="5">
        <v>8</v>
      </c>
      <c r="B12" s="19">
        <v>8510</v>
      </c>
      <c r="C12" s="19">
        <v>6094</v>
      </c>
      <c r="D12" s="11"/>
      <c r="E12" s="5">
        <v>8</v>
      </c>
      <c r="F12" s="19">
        <v>47090</v>
      </c>
      <c r="G12" s="19">
        <v>13948</v>
      </c>
      <c r="H12" s="11"/>
      <c r="I12" s="5">
        <v>8</v>
      </c>
      <c r="J12" s="19">
        <v>9500</v>
      </c>
      <c r="K12" s="19">
        <v>0</v>
      </c>
      <c r="L12" s="11"/>
      <c r="M12" s="19" t="s">
        <v>74</v>
      </c>
      <c r="N12" s="20">
        <v>14000</v>
      </c>
      <c r="O12" s="11">
        <v>4000</v>
      </c>
      <c r="P12" s="1"/>
      <c r="Q12" s="1"/>
    </row>
    <row r="13" spans="1:17" ht="12.75" x14ac:dyDescent="0.2">
      <c r="A13" s="5">
        <v>9</v>
      </c>
      <c r="B13" s="19">
        <v>10314</v>
      </c>
      <c r="C13" s="19">
        <v>6046</v>
      </c>
      <c r="D13" s="11"/>
      <c r="E13" s="5">
        <v>9</v>
      </c>
      <c r="F13" s="19">
        <v>39528</v>
      </c>
      <c r="G13" s="19">
        <v>5283</v>
      </c>
      <c r="H13" s="11"/>
      <c r="I13" s="5">
        <v>9</v>
      </c>
      <c r="J13" s="19">
        <v>16200</v>
      </c>
      <c r="K13" s="19">
        <v>0</v>
      </c>
      <c r="L13" s="11"/>
      <c r="M13" s="19" t="s">
        <v>87</v>
      </c>
      <c r="N13" s="19">
        <v>13200</v>
      </c>
      <c r="O13" s="11">
        <v>4000</v>
      </c>
      <c r="P13" s="1"/>
      <c r="Q13" s="1"/>
    </row>
    <row r="14" spans="1:17" ht="12.75" x14ac:dyDescent="0.2">
      <c r="A14" s="5">
        <v>10</v>
      </c>
      <c r="B14" s="19">
        <v>12580</v>
      </c>
      <c r="C14" s="19">
        <v>7971</v>
      </c>
      <c r="D14" s="11"/>
      <c r="E14" s="5">
        <v>10</v>
      </c>
      <c r="F14" s="19">
        <v>50642</v>
      </c>
      <c r="G14" s="19">
        <v>20327</v>
      </c>
      <c r="H14" s="11"/>
      <c r="I14" s="5">
        <v>10</v>
      </c>
      <c r="J14" s="19">
        <v>18900</v>
      </c>
      <c r="K14" s="19">
        <v>0</v>
      </c>
      <c r="L14" s="1"/>
      <c r="M14" s="19" t="s">
        <v>134</v>
      </c>
      <c r="N14" s="19">
        <v>15000</v>
      </c>
      <c r="O14" s="11">
        <v>5000</v>
      </c>
      <c r="P14" s="1"/>
      <c r="Q14" s="1"/>
    </row>
    <row r="15" spans="1:17" ht="12.75" x14ac:dyDescent="0.2">
      <c r="A15" s="5">
        <v>11</v>
      </c>
      <c r="B15" s="19">
        <v>13472</v>
      </c>
      <c r="C15" s="19">
        <v>8197</v>
      </c>
      <c r="D15" s="11"/>
      <c r="E15" s="5">
        <v>11</v>
      </c>
      <c r="F15" s="19">
        <v>54099</v>
      </c>
      <c r="G15" s="19">
        <v>40410</v>
      </c>
      <c r="H15" s="11"/>
      <c r="I15" s="5">
        <v>11</v>
      </c>
      <c r="J15" s="19">
        <v>26800</v>
      </c>
      <c r="K15" s="19">
        <v>0</v>
      </c>
      <c r="L15" s="1"/>
      <c r="M15" s="12" t="s">
        <v>79</v>
      </c>
      <c r="N15" s="13">
        <f>SUM(N4:N14)</f>
        <v>164250</v>
      </c>
      <c r="O15" s="1"/>
      <c r="P15" s="1"/>
      <c r="Q15" s="1"/>
    </row>
    <row r="16" spans="1:17" ht="12.75" x14ac:dyDescent="0.2">
      <c r="A16" s="5">
        <v>12</v>
      </c>
      <c r="B16" s="19">
        <v>0</v>
      </c>
      <c r="C16" s="19">
        <v>0</v>
      </c>
      <c r="D16" s="11"/>
      <c r="E16" s="5">
        <v>12</v>
      </c>
      <c r="F16" s="19">
        <v>31985</v>
      </c>
      <c r="G16" s="19">
        <v>42431</v>
      </c>
      <c r="H16" s="11"/>
      <c r="I16" s="5">
        <v>12</v>
      </c>
      <c r="J16" s="19">
        <v>66000</v>
      </c>
      <c r="K16" s="19">
        <v>0</v>
      </c>
      <c r="L16" s="1"/>
      <c r="M16" s="25"/>
      <c r="N16" s="6"/>
      <c r="O16" s="1"/>
      <c r="P16" s="1"/>
      <c r="Q16" s="1"/>
    </row>
    <row r="17" spans="1:19" ht="12.75" x14ac:dyDescent="0.2">
      <c r="A17" s="5">
        <v>13</v>
      </c>
      <c r="B17" s="19">
        <v>8318</v>
      </c>
      <c r="C17" s="19">
        <v>7338</v>
      </c>
      <c r="D17" s="11"/>
      <c r="E17" s="5">
        <v>13</v>
      </c>
      <c r="F17" s="19">
        <v>32535</v>
      </c>
      <c r="G17" s="19">
        <v>25453</v>
      </c>
      <c r="H17" s="11"/>
      <c r="I17" s="5">
        <v>13</v>
      </c>
      <c r="J17" s="19">
        <v>109400</v>
      </c>
      <c r="K17" s="19">
        <v>0</v>
      </c>
      <c r="L17" s="1"/>
      <c r="M17" s="78" t="s">
        <v>37</v>
      </c>
      <c r="N17" s="79"/>
      <c r="O17" s="1"/>
      <c r="P17" s="80" t="s">
        <v>38</v>
      </c>
      <c r="Q17" s="79"/>
    </row>
    <row r="18" spans="1:19" ht="12.75" x14ac:dyDescent="0.2">
      <c r="A18" s="5">
        <v>14</v>
      </c>
      <c r="B18" s="19">
        <v>8990</v>
      </c>
      <c r="C18" s="19">
        <v>7122</v>
      </c>
      <c r="D18" s="11"/>
      <c r="E18" s="5">
        <v>14</v>
      </c>
      <c r="F18" s="19">
        <v>33895</v>
      </c>
      <c r="G18" s="19">
        <v>19036</v>
      </c>
      <c r="H18" s="11"/>
      <c r="I18" s="5">
        <v>14</v>
      </c>
      <c r="J18" s="19">
        <v>800</v>
      </c>
      <c r="K18" s="19">
        <v>0</v>
      </c>
      <c r="L18" s="1"/>
      <c r="M18" s="2" t="s">
        <v>39</v>
      </c>
      <c r="N18" s="3" t="s">
        <v>6</v>
      </c>
      <c r="O18" s="1"/>
      <c r="P18" s="2" t="s">
        <v>5</v>
      </c>
      <c r="Q18" s="3" t="s">
        <v>6</v>
      </c>
    </row>
    <row r="19" spans="1:19" ht="12.75" x14ac:dyDescent="0.2">
      <c r="A19" s="5">
        <v>15</v>
      </c>
      <c r="B19" s="19">
        <v>11646</v>
      </c>
      <c r="C19" s="19">
        <v>8943</v>
      </c>
      <c r="D19" s="11"/>
      <c r="E19" s="5">
        <v>15</v>
      </c>
      <c r="F19" s="19">
        <v>47681</v>
      </c>
      <c r="G19" s="19">
        <v>13888</v>
      </c>
      <c r="H19" s="11"/>
      <c r="I19" s="5">
        <v>15</v>
      </c>
      <c r="J19" s="19">
        <v>68600</v>
      </c>
      <c r="K19" s="19">
        <v>0</v>
      </c>
      <c r="L19" s="1"/>
      <c r="M19" s="4" t="s">
        <v>41</v>
      </c>
      <c r="N19" s="20">
        <v>50000</v>
      </c>
      <c r="O19" s="1"/>
      <c r="P19" s="4" t="s">
        <v>42</v>
      </c>
      <c r="Q19" s="5">
        <f>B35+F35+J35</f>
        <v>2201837</v>
      </c>
      <c r="S19" s="42">
        <f>Q21/Q19</f>
        <v>0.42225559839352322</v>
      </c>
    </row>
    <row r="20" spans="1:19" ht="12.75" x14ac:dyDescent="0.2">
      <c r="A20" s="5">
        <v>16</v>
      </c>
      <c r="B20" s="19">
        <v>15437</v>
      </c>
      <c r="C20" s="19">
        <v>11520</v>
      </c>
      <c r="D20" s="11"/>
      <c r="E20" s="5">
        <v>16</v>
      </c>
      <c r="F20" s="19">
        <v>54808</v>
      </c>
      <c r="G20" s="19">
        <v>15002</v>
      </c>
      <c r="H20" s="11"/>
      <c r="I20" s="5">
        <v>16</v>
      </c>
      <c r="J20" s="19">
        <v>30500</v>
      </c>
      <c r="K20" s="19">
        <v>0</v>
      </c>
      <c r="L20" s="11"/>
      <c r="M20" s="4" t="s">
        <v>43</v>
      </c>
      <c r="N20" s="19">
        <v>62770</v>
      </c>
      <c r="O20" s="1"/>
      <c r="P20" s="4" t="s">
        <v>44</v>
      </c>
      <c r="Q20" s="5">
        <f>C35+G35+K35+N15+N30+N55</f>
        <v>1272099</v>
      </c>
    </row>
    <row r="21" spans="1:19" ht="12.75" x14ac:dyDescent="0.2">
      <c r="A21" s="5">
        <v>17</v>
      </c>
      <c r="B21" s="19">
        <v>12930</v>
      </c>
      <c r="C21" s="19">
        <v>10232</v>
      </c>
      <c r="D21" s="11"/>
      <c r="E21" s="5">
        <v>17</v>
      </c>
      <c r="F21" s="19">
        <v>43502</v>
      </c>
      <c r="G21" s="19">
        <v>10323</v>
      </c>
      <c r="H21" s="11"/>
      <c r="I21" s="5">
        <v>17</v>
      </c>
      <c r="J21" s="19">
        <v>3600</v>
      </c>
      <c r="K21" s="19">
        <v>0</v>
      </c>
      <c r="L21" s="1"/>
      <c r="M21" s="4" t="s">
        <v>46</v>
      </c>
      <c r="N21" s="20">
        <v>3000</v>
      </c>
      <c r="O21" s="1"/>
      <c r="P21" s="26" t="s">
        <v>47</v>
      </c>
      <c r="Q21" s="27">
        <f>Q19-Q20</f>
        <v>929738</v>
      </c>
    </row>
    <row r="22" spans="1:19" ht="12.75" x14ac:dyDescent="0.2">
      <c r="A22" s="5">
        <v>18</v>
      </c>
      <c r="B22" s="19">
        <v>6485</v>
      </c>
      <c r="C22" s="19">
        <v>3870</v>
      </c>
      <c r="D22" s="11"/>
      <c r="E22" s="5">
        <v>18</v>
      </c>
      <c r="F22" s="19">
        <v>71541</v>
      </c>
      <c r="G22" s="19">
        <v>15706</v>
      </c>
      <c r="H22" s="11"/>
      <c r="I22" s="5">
        <v>18</v>
      </c>
      <c r="J22" s="19">
        <v>0</v>
      </c>
      <c r="K22" s="19">
        <v>0</v>
      </c>
      <c r="L22" s="1"/>
      <c r="M22" s="19" t="s">
        <v>151</v>
      </c>
      <c r="N22" s="19">
        <v>300</v>
      </c>
      <c r="O22" s="1"/>
      <c r="P22" s="4" t="s">
        <v>49</v>
      </c>
      <c r="Q22" s="20">
        <v>35000</v>
      </c>
    </row>
    <row r="23" spans="1:19" ht="12.75" x14ac:dyDescent="0.2">
      <c r="A23" s="5">
        <v>19</v>
      </c>
      <c r="B23" s="20">
        <v>1220</v>
      </c>
      <c r="C23" s="67">
        <v>1200</v>
      </c>
      <c r="D23" s="11"/>
      <c r="E23" s="5">
        <v>19</v>
      </c>
      <c r="F23" s="19">
        <v>32328</v>
      </c>
      <c r="G23" s="19">
        <v>21593</v>
      </c>
      <c r="H23" s="11"/>
      <c r="I23" s="5">
        <v>19</v>
      </c>
      <c r="J23" s="19">
        <v>2300</v>
      </c>
      <c r="K23" s="19">
        <v>0</v>
      </c>
      <c r="L23" s="1"/>
      <c r="M23" s="4" t="s">
        <v>50</v>
      </c>
      <c r="N23" s="20">
        <v>2490</v>
      </c>
      <c r="O23" s="1"/>
      <c r="P23" s="11" t="s">
        <v>133</v>
      </c>
      <c r="Q23" s="1">
        <f>C35+G35+K35</f>
        <v>871749</v>
      </c>
    </row>
    <row r="24" spans="1:19" ht="12.75" x14ac:dyDescent="0.2">
      <c r="A24" s="5">
        <v>20</v>
      </c>
      <c r="B24" s="19">
        <v>5388</v>
      </c>
      <c r="C24" s="19">
        <v>5267</v>
      </c>
      <c r="D24" s="11"/>
      <c r="E24" s="5">
        <v>20</v>
      </c>
      <c r="F24" s="19">
        <v>24305</v>
      </c>
      <c r="G24" s="19">
        <v>34088</v>
      </c>
      <c r="H24" s="11"/>
      <c r="I24" s="5">
        <v>20</v>
      </c>
      <c r="J24" s="19">
        <v>26400</v>
      </c>
      <c r="K24" s="19">
        <v>0</v>
      </c>
      <c r="L24" s="1"/>
      <c r="M24" s="4" t="s">
        <v>51</v>
      </c>
      <c r="N24" s="20">
        <v>5000</v>
      </c>
      <c r="O24" s="1"/>
      <c r="P24" s="1"/>
      <c r="Q24" s="1"/>
    </row>
    <row r="25" spans="1:19" ht="12.75" x14ac:dyDescent="0.2">
      <c r="A25" s="5">
        <v>21</v>
      </c>
      <c r="B25" s="19">
        <v>17440</v>
      </c>
      <c r="C25" s="19">
        <v>14633</v>
      </c>
      <c r="D25" s="11"/>
      <c r="E25" s="5">
        <v>21</v>
      </c>
      <c r="F25" s="19">
        <v>47160</v>
      </c>
      <c r="G25" s="19">
        <v>13145</v>
      </c>
      <c r="H25" s="11"/>
      <c r="I25" s="5">
        <v>21</v>
      </c>
      <c r="J25" s="19">
        <v>9000</v>
      </c>
      <c r="K25" s="19">
        <v>0</v>
      </c>
      <c r="L25" s="11"/>
      <c r="M25" s="19" t="s">
        <v>152</v>
      </c>
      <c r="N25" s="19">
        <v>4257</v>
      </c>
      <c r="O25" s="1"/>
      <c r="P25" s="1"/>
      <c r="Q25" s="1"/>
    </row>
    <row r="26" spans="1:19" ht="12.75" x14ac:dyDescent="0.2">
      <c r="A26" s="5">
        <v>22</v>
      </c>
      <c r="B26" s="19">
        <v>9485</v>
      </c>
      <c r="C26" s="19">
        <v>7760</v>
      </c>
      <c r="D26" s="11"/>
      <c r="E26" s="5">
        <v>22</v>
      </c>
      <c r="F26" s="19">
        <v>22174</v>
      </c>
      <c r="G26" s="19">
        <v>19231</v>
      </c>
      <c r="H26" s="11"/>
      <c r="I26" s="5">
        <v>22</v>
      </c>
      <c r="J26" s="19">
        <v>8600</v>
      </c>
      <c r="K26" s="19">
        <v>0</v>
      </c>
      <c r="L26" s="1"/>
      <c r="M26" s="19" t="s">
        <v>153</v>
      </c>
      <c r="N26" s="19">
        <v>25000</v>
      </c>
      <c r="O26" s="1"/>
      <c r="P26" s="1"/>
      <c r="Q26" s="1"/>
    </row>
    <row r="27" spans="1:19" ht="15.75" customHeight="1" x14ac:dyDescent="0.4">
      <c r="A27" s="5">
        <v>23</v>
      </c>
      <c r="B27" s="19">
        <v>18119</v>
      </c>
      <c r="C27" s="19">
        <v>13230</v>
      </c>
      <c r="D27" s="11"/>
      <c r="E27" s="5">
        <v>23</v>
      </c>
      <c r="F27" s="19">
        <v>34492</v>
      </c>
      <c r="G27" s="19">
        <v>8494</v>
      </c>
      <c r="H27" s="11"/>
      <c r="I27" s="5">
        <v>23</v>
      </c>
      <c r="J27" s="19">
        <v>16900</v>
      </c>
      <c r="K27" s="19">
        <v>0</v>
      </c>
      <c r="L27" s="1"/>
      <c r="M27" s="19"/>
      <c r="N27" s="19"/>
      <c r="O27" s="1"/>
      <c r="P27" s="19" t="s">
        <v>139</v>
      </c>
      <c r="Q27" s="63">
        <f>(N15+N55)-Z17</f>
        <v>247533</v>
      </c>
    </row>
    <row r="28" spans="1:19" ht="15.75" customHeight="1" x14ac:dyDescent="0.4">
      <c r="A28" s="5">
        <v>24</v>
      </c>
      <c r="B28" s="19">
        <v>10620</v>
      </c>
      <c r="C28" s="19">
        <v>8704</v>
      </c>
      <c r="D28" s="11"/>
      <c r="E28" s="5">
        <v>24</v>
      </c>
      <c r="F28" s="19">
        <v>33586</v>
      </c>
      <c r="G28" s="19">
        <v>19634</v>
      </c>
      <c r="H28" s="11"/>
      <c r="I28" s="5">
        <v>24</v>
      </c>
      <c r="J28" s="19">
        <v>0</v>
      </c>
      <c r="K28" s="19">
        <v>0</v>
      </c>
      <c r="L28" s="1"/>
      <c r="M28" s="4"/>
      <c r="N28" s="4"/>
      <c r="O28" s="1"/>
      <c r="P28" s="19" t="s">
        <v>140</v>
      </c>
      <c r="Q28" s="64">
        <f>O44</f>
        <v>85000</v>
      </c>
    </row>
    <row r="29" spans="1:19" ht="12.75" x14ac:dyDescent="0.2">
      <c r="A29" s="5">
        <v>25</v>
      </c>
      <c r="B29" s="19">
        <v>11565</v>
      </c>
      <c r="C29" s="19">
        <v>11075</v>
      </c>
      <c r="D29" s="11"/>
      <c r="E29" s="5">
        <v>25</v>
      </c>
      <c r="F29" s="19">
        <v>64301</v>
      </c>
      <c r="G29" s="19">
        <v>26579</v>
      </c>
      <c r="H29" s="11"/>
      <c r="I29" s="5">
        <v>25</v>
      </c>
      <c r="J29" s="19">
        <v>10800</v>
      </c>
      <c r="K29" s="19">
        <v>0</v>
      </c>
      <c r="L29" s="1"/>
      <c r="M29" s="4"/>
      <c r="N29" s="4"/>
      <c r="O29" s="1"/>
      <c r="P29" s="19" t="s">
        <v>141</v>
      </c>
      <c r="Q29" s="4">
        <f>Q27-Q28</f>
        <v>162533</v>
      </c>
    </row>
    <row r="30" spans="1:19" ht="12.75" x14ac:dyDescent="0.2">
      <c r="A30" s="5">
        <v>26</v>
      </c>
      <c r="B30" s="19">
        <v>0</v>
      </c>
      <c r="C30" s="19">
        <v>0</v>
      </c>
      <c r="D30" s="11"/>
      <c r="E30" s="5">
        <v>26</v>
      </c>
      <c r="F30" s="19">
        <v>40278</v>
      </c>
      <c r="G30" s="19">
        <v>26936</v>
      </c>
      <c r="H30" s="11"/>
      <c r="I30" s="5">
        <v>26</v>
      </c>
      <c r="J30" s="19">
        <v>2600</v>
      </c>
      <c r="K30" s="19">
        <v>0</v>
      </c>
      <c r="L30" s="1"/>
      <c r="M30" s="12" t="s">
        <v>36</v>
      </c>
      <c r="N30" s="13">
        <f>SUM(N19:N29)</f>
        <v>152817</v>
      </c>
      <c r="O30" s="1"/>
      <c r="P30" s="1"/>
      <c r="Q30" s="11"/>
    </row>
    <row r="31" spans="1:19" ht="12.75" x14ac:dyDescent="0.2">
      <c r="A31" s="5">
        <v>27</v>
      </c>
      <c r="B31" s="19">
        <v>18645</v>
      </c>
      <c r="C31" s="19">
        <v>17807</v>
      </c>
      <c r="D31" s="11"/>
      <c r="E31" s="5">
        <v>27</v>
      </c>
      <c r="F31" s="19">
        <v>32313</v>
      </c>
      <c r="G31" s="19">
        <v>25560</v>
      </c>
      <c r="H31" s="11"/>
      <c r="I31" s="5">
        <v>27</v>
      </c>
      <c r="J31" s="19">
        <v>4700</v>
      </c>
      <c r="K31" s="19">
        <v>0</v>
      </c>
      <c r="L31" s="1"/>
      <c r="M31" s="1"/>
      <c r="N31" s="1"/>
      <c r="O31" s="1"/>
      <c r="P31" s="1"/>
      <c r="Q31" s="1"/>
    </row>
    <row r="32" spans="1:19" ht="12.75" x14ac:dyDescent="0.2">
      <c r="A32" s="5">
        <v>28</v>
      </c>
      <c r="B32" s="19">
        <v>10522</v>
      </c>
      <c r="C32" s="19">
        <v>10167</v>
      </c>
      <c r="D32" s="11"/>
      <c r="E32" s="5">
        <v>28</v>
      </c>
      <c r="F32" s="19">
        <v>51098</v>
      </c>
      <c r="G32" s="19">
        <v>28285</v>
      </c>
      <c r="H32" s="1"/>
      <c r="I32" s="5">
        <v>28</v>
      </c>
      <c r="J32" s="19">
        <v>29500</v>
      </c>
      <c r="K32" s="19">
        <v>0</v>
      </c>
      <c r="L32" s="1"/>
      <c r="M32" s="81" t="s">
        <v>53</v>
      </c>
      <c r="N32" s="79"/>
      <c r="O32" s="1"/>
      <c r="P32" s="1"/>
      <c r="Q32" s="1"/>
    </row>
    <row r="33" spans="1:17" ht="12.75" x14ac:dyDescent="0.2">
      <c r="A33" s="5">
        <v>29</v>
      </c>
      <c r="B33" s="19">
        <v>16230</v>
      </c>
      <c r="C33" s="19">
        <v>10316</v>
      </c>
      <c r="D33" s="11"/>
      <c r="E33" s="5">
        <v>29</v>
      </c>
      <c r="F33" s="19">
        <v>49995</v>
      </c>
      <c r="G33" s="19">
        <v>39847</v>
      </c>
      <c r="H33" s="1"/>
      <c r="I33" s="5">
        <v>29</v>
      </c>
      <c r="J33" s="19">
        <v>1000</v>
      </c>
      <c r="K33" s="19">
        <v>0</v>
      </c>
      <c r="L33" s="1"/>
      <c r="M33" s="2" t="s">
        <v>39</v>
      </c>
      <c r="N33" s="3" t="s">
        <v>6</v>
      </c>
      <c r="O33" s="1"/>
      <c r="P33" s="1"/>
      <c r="Q33" s="1"/>
    </row>
    <row r="34" spans="1:17" ht="12.75" x14ac:dyDescent="0.2">
      <c r="A34" s="5">
        <v>30</v>
      </c>
      <c r="B34" s="19">
        <v>13400</v>
      </c>
      <c r="C34" s="19">
        <v>13371</v>
      </c>
      <c r="D34" s="11"/>
      <c r="E34" s="5">
        <v>30</v>
      </c>
      <c r="F34" s="19">
        <v>61346</v>
      </c>
      <c r="G34" s="19">
        <v>15243</v>
      </c>
      <c r="H34" s="1"/>
      <c r="I34" s="5">
        <v>30</v>
      </c>
      <c r="J34" s="19">
        <v>2300</v>
      </c>
      <c r="K34" s="19">
        <v>0</v>
      </c>
      <c r="L34" s="1"/>
      <c r="M34" s="19"/>
      <c r="N34" s="19"/>
      <c r="O34" s="11"/>
      <c r="P34" s="1"/>
      <c r="Q34" s="1"/>
    </row>
    <row r="35" spans="1:17" ht="12.75" x14ac:dyDescent="0.2">
      <c r="A35" s="12" t="s">
        <v>36</v>
      </c>
      <c r="B35" s="13">
        <f t="shared" ref="B35:C35" si="0">SUM(B5:B34)+B37</f>
        <v>298543</v>
      </c>
      <c r="C35" s="13">
        <f t="shared" si="0"/>
        <v>235868</v>
      </c>
      <c r="D35" s="1"/>
      <c r="E35" s="12" t="s">
        <v>36</v>
      </c>
      <c r="F35" s="13">
        <f t="shared" ref="F35:G35" si="1">SUM(F5:F34)+F37</f>
        <v>1280394</v>
      </c>
      <c r="G35" s="13">
        <f t="shared" si="1"/>
        <v>635881</v>
      </c>
      <c r="H35" s="1"/>
      <c r="I35" s="12" t="s">
        <v>36</v>
      </c>
      <c r="J35" s="13">
        <f t="shared" ref="J35:K35" si="2">SUM(J5:J34)+J37</f>
        <v>622900</v>
      </c>
      <c r="K35" s="13">
        <f t="shared" si="2"/>
        <v>0</v>
      </c>
      <c r="L35" s="11" t="s">
        <v>154</v>
      </c>
      <c r="M35" s="19" t="s">
        <v>102</v>
      </c>
      <c r="N35" s="19">
        <v>12000</v>
      </c>
      <c r="O35" s="11">
        <v>6000</v>
      </c>
      <c r="P35" s="1"/>
      <c r="Q35" s="1"/>
    </row>
    <row r="36" spans="1:17" ht="12.75" x14ac:dyDescent="0.2">
      <c r="A36" s="3" t="s">
        <v>56</v>
      </c>
      <c r="B36" s="82">
        <f>B35-C35</f>
        <v>62675</v>
      </c>
      <c r="C36" s="79"/>
      <c r="D36" s="1"/>
      <c r="E36" s="3" t="s">
        <v>56</v>
      </c>
      <c r="F36" s="82">
        <f>F35-G35</f>
        <v>644513</v>
      </c>
      <c r="G36" s="79"/>
      <c r="H36" s="1"/>
      <c r="I36" s="3" t="s">
        <v>56</v>
      </c>
      <c r="J36" s="82">
        <f>J35-K35</f>
        <v>622900</v>
      </c>
      <c r="K36" s="79"/>
      <c r="M36" s="19" t="s">
        <v>112</v>
      </c>
      <c r="N36" s="19">
        <v>13583</v>
      </c>
      <c r="O36" s="11">
        <v>4000</v>
      </c>
      <c r="P36" s="1"/>
      <c r="Q36" s="1"/>
    </row>
    <row r="37" spans="1:17" ht="12.75" x14ac:dyDescent="0.2">
      <c r="A37" s="5">
        <v>31</v>
      </c>
      <c r="B37" s="19">
        <v>10750</v>
      </c>
      <c r="C37" s="19">
        <v>7679</v>
      </c>
      <c r="D37" s="11"/>
      <c r="E37" s="5">
        <v>31</v>
      </c>
      <c r="F37" s="19">
        <v>67315</v>
      </c>
      <c r="G37" s="19">
        <v>21931</v>
      </c>
      <c r="H37" s="1"/>
      <c r="I37" s="5">
        <v>31</v>
      </c>
      <c r="J37" s="19">
        <v>75500</v>
      </c>
      <c r="K37" s="19">
        <v>0</v>
      </c>
      <c r="L37" s="60"/>
      <c r="M37" s="19" t="s">
        <v>142</v>
      </c>
      <c r="N37" s="19">
        <v>14200</v>
      </c>
      <c r="O37" s="11">
        <v>5000</v>
      </c>
      <c r="P37" s="1"/>
      <c r="Q37" s="1"/>
    </row>
    <row r="38" spans="1:17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4" t="s">
        <v>144</v>
      </c>
      <c r="N38" s="54">
        <v>11000</v>
      </c>
      <c r="O38" s="11">
        <v>4000</v>
      </c>
      <c r="P38" s="1">
        <f>C47-C48-Z17-N26-N27</f>
        <v>1305088</v>
      </c>
      <c r="Q38" s="1"/>
    </row>
    <row r="39" spans="1:17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1"/>
      <c r="M39" s="68" t="s">
        <v>147</v>
      </c>
      <c r="N39" s="68">
        <v>4000</v>
      </c>
      <c r="O39" s="69">
        <v>4000</v>
      </c>
      <c r="P39" s="1"/>
      <c r="Q39" s="1"/>
    </row>
    <row r="40" spans="1:1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1"/>
      <c r="M40" s="19" t="s">
        <v>149</v>
      </c>
      <c r="N40" s="19">
        <v>11000</v>
      </c>
      <c r="O40" s="11">
        <v>4000</v>
      </c>
      <c r="P40" s="1"/>
      <c r="Q40" s="1"/>
    </row>
    <row r="41" spans="1:17" ht="12.75" x14ac:dyDescent="0.2">
      <c r="A41" s="1"/>
      <c r="B41" s="1"/>
      <c r="C41" s="1"/>
      <c r="D41" s="1"/>
      <c r="E41" s="1"/>
      <c r="F41" s="1"/>
      <c r="G41" s="83" t="s">
        <v>130</v>
      </c>
      <c r="H41" s="79"/>
      <c r="I41" s="1"/>
      <c r="J41" s="1"/>
      <c r="K41" s="1"/>
      <c r="L41" s="1"/>
      <c r="M41" s="19" t="s">
        <v>150</v>
      </c>
      <c r="N41" s="19">
        <v>12000</v>
      </c>
      <c r="O41" s="11">
        <v>4000</v>
      </c>
      <c r="P41" s="1"/>
      <c r="Q41" s="1"/>
    </row>
    <row r="42" spans="1:17" ht="12.75" x14ac:dyDescent="0.2">
      <c r="A42" s="1"/>
      <c r="B42" s="1"/>
      <c r="C42" s="1"/>
      <c r="D42" s="1"/>
      <c r="E42" s="1"/>
      <c r="F42" s="1"/>
      <c r="G42" s="19" t="s">
        <v>106</v>
      </c>
      <c r="H42" s="19" t="s">
        <v>131</v>
      </c>
      <c r="I42" s="1"/>
      <c r="J42" s="1"/>
      <c r="K42" s="1"/>
      <c r="L42" s="11" t="s">
        <v>155</v>
      </c>
      <c r="M42" s="19" t="s">
        <v>156</v>
      </c>
      <c r="N42" s="19">
        <v>4500</v>
      </c>
      <c r="O42" s="1"/>
      <c r="P42" s="1"/>
      <c r="Q42" s="1"/>
    </row>
    <row r="43" spans="1:17" ht="12.75" x14ac:dyDescent="0.2">
      <c r="A43" s="1"/>
      <c r="B43" s="1"/>
      <c r="C43" s="1"/>
      <c r="D43" s="1"/>
      <c r="E43" s="1"/>
      <c r="F43" s="1"/>
      <c r="G43" s="62"/>
      <c r="H43" s="19"/>
      <c r="I43" s="1"/>
      <c r="J43" s="1"/>
      <c r="K43" s="1"/>
      <c r="L43" s="1"/>
      <c r="M43" s="19" t="s">
        <v>157</v>
      </c>
      <c r="N43" s="19">
        <v>1000</v>
      </c>
      <c r="O43" s="1"/>
      <c r="P43" s="1"/>
      <c r="Q43" s="1"/>
    </row>
    <row r="44" spans="1:17" ht="12.75" x14ac:dyDescent="0.2">
      <c r="A44" s="1"/>
      <c r="B44" s="1"/>
      <c r="C44" s="1"/>
      <c r="D44" s="1"/>
      <c r="E44" s="1"/>
      <c r="F44" s="1"/>
      <c r="G44" s="62"/>
      <c r="H44" s="19"/>
      <c r="I44" s="1"/>
      <c r="J44" s="1"/>
      <c r="K44" s="1"/>
      <c r="L44" s="1"/>
      <c r="M44" s="4"/>
      <c r="N44" s="4"/>
      <c r="O44" s="1">
        <f>SUM(O4:O43)</f>
        <v>85000</v>
      </c>
      <c r="P44" s="1"/>
      <c r="Q44" s="1"/>
    </row>
    <row r="45" spans="1:17" ht="12.75" x14ac:dyDescent="0.2">
      <c r="A45" s="1"/>
      <c r="B45" s="1"/>
      <c r="C45" s="1"/>
      <c r="D45" s="1"/>
      <c r="E45" s="1"/>
      <c r="F45" s="1"/>
      <c r="G45" s="62"/>
      <c r="H45" s="19"/>
      <c r="I45" s="1"/>
      <c r="J45" s="1"/>
      <c r="K45" s="1"/>
      <c r="L45" s="1"/>
      <c r="M45" s="4"/>
      <c r="N45" s="4"/>
      <c r="O45" s="1"/>
      <c r="P45" s="1"/>
      <c r="Q45" s="1"/>
    </row>
    <row r="46" spans="1:17" ht="12.75" x14ac:dyDescent="0.2">
      <c r="A46" s="1"/>
      <c r="B46" s="1"/>
      <c r="C46" s="1"/>
      <c r="D46" s="1"/>
      <c r="E46" s="1"/>
      <c r="F46" s="1"/>
      <c r="G46" s="62"/>
      <c r="H46" s="19"/>
      <c r="I46" s="1"/>
      <c r="J46" s="1"/>
      <c r="K46" s="1"/>
      <c r="L46" s="1"/>
      <c r="M46" s="4"/>
      <c r="N46" s="4"/>
      <c r="O46" s="1"/>
      <c r="P46" s="1"/>
      <c r="Q46" s="1"/>
    </row>
    <row r="47" spans="1:17" ht="12.75" x14ac:dyDescent="0.2">
      <c r="A47" s="1"/>
      <c r="B47" s="1"/>
      <c r="C47" s="1">
        <f>(B35+F35+J35)</f>
        <v>2201837</v>
      </c>
      <c r="D47" s="1"/>
      <c r="E47" s="1"/>
      <c r="F47" s="1"/>
      <c r="G47" s="62"/>
      <c r="H47" s="19"/>
      <c r="I47" s="1"/>
      <c r="J47" s="1"/>
      <c r="K47" s="1"/>
      <c r="L47" s="1"/>
      <c r="M47" s="4"/>
      <c r="N47" s="4"/>
      <c r="O47" s="1"/>
      <c r="P47" s="1"/>
      <c r="Q47" s="1"/>
    </row>
    <row r="48" spans="1:17" ht="12.75" x14ac:dyDescent="0.2">
      <c r="A48" s="1"/>
      <c r="B48" s="1"/>
      <c r="C48" s="42">
        <f>C35+G35</f>
        <v>871749</v>
      </c>
      <c r="D48" s="1"/>
      <c r="E48" s="1"/>
      <c r="F48" s="1"/>
      <c r="G48" s="62"/>
      <c r="H48" s="19"/>
      <c r="I48" s="1"/>
      <c r="J48" s="1"/>
      <c r="K48" s="1"/>
      <c r="L48" s="1"/>
      <c r="M48" s="4"/>
      <c r="N48" s="4"/>
      <c r="O48" s="1"/>
      <c r="P48" s="11">
        <v>105100</v>
      </c>
      <c r="Q48" s="1"/>
    </row>
    <row r="49" spans="1:17" ht="12.75" x14ac:dyDescent="0.2">
      <c r="A49" s="1"/>
      <c r="B49" s="1"/>
      <c r="C49" s="1">
        <f>C48/C47</f>
        <v>0.39591895312868303</v>
      </c>
      <c r="D49" s="1"/>
      <c r="E49" s="1"/>
      <c r="F49" s="1"/>
      <c r="G49" s="62"/>
      <c r="H49" s="19"/>
      <c r="I49" s="1"/>
      <c r="J49" s="1"/>
      <c r="K49" s="1"/>
      <c r="L49" s="1"/>
      <c r="M49" s="4"/>
      <c r="N49" s="4"/>
      <c r="O49" s="1"/>
      <c r="P49" s="1"/>
      <c r="Q49" s="1"/>
    </row>
    <row r="50" spans="1:17" ht="12.75" x14ac:dyDescent="0.2">
      <c r="A50" s="1"/>
      <c r="B50" s="1"/>
      <c r="C50" s="1"/>
      <c r="D50" s="1"/>
      <c r="E50" s="1"/>
      <c r="F50" s="1"/>
      <c r="G50" s="21"/>
      <c r="H50" s="19"/>
      <c r="I50" s="1"/>
      <c r="J50" s="1"/>
      <c r="K50" s="1"/>
      <c r="L50" s="1"/>
      <c r="M50" s="4"/>
      <c r="N50" s="4"/>
      <c r="O50" s="1"/>
      <c r="P50" s="1"/>
      <c r="Q50" s="1"/>
    </row>
    <row r="51" spans="1:17" ht="12.75" x14ac:dyDescent="0.2">
      <c r="A51" s="1"/>
      <c r="B51" s="1"/>
      <c r="C51" s="1"/>
      <c r="D51" s="1"/>
      <c r="E51" s="1"/>
      <c r="F51" s="1"/>
      <c r="G51" s="4"/>
      <c r="H51" s="4"/>
      <c r="I51" s="1"/>
      <c r="J51" s="1"/>
      <c r="K51" s="1"/>
      <c r="L51" s="1"/>
      <c r="M51" s="4"/>
      <c r="N51" s="4"/>
      <c r="O51" s="1"/>
      <c r="P51" s="1"/>
      <c r="Q51" s="1"/>
    </row>
    <row r="52" spans="1:1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4"/>
      <c r="O52" s="1"/>
      <c r="P52" s="1"/>
      <c r="Q52" s="1"/>
    </row>
    <row r="53" spans="1:1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4"/>
      <c r="O53" s="1"/>
      <c r="P53" s="1"/>
      <c r="Q53" s="1"/>
    </row>
    <row r="54" spans="1:1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4"/>
      <c r="O54" s="1"/>
      <c r="P54" s="1"/>
      <c r="Q54" s="1"/>
    </row>
    <row r="55" spans="1:1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 t="s">
        <v>36</v>
      </c>
      <c r="N55" s="5">
        <f>SUM(N34:N54)</f>
        <v>83283</v>
      </c>
      <c r="O55" s="1"/>
      <c r="P55" s="1"/>
      <c r="Q55" s="1"/>
    </row>
  </sheetData>
  <mergeCells count="12">
    <mergeCell ref="M17:N17"/>
    <mergeCell ref="P17:Q17"/>
    <mergeCell ref="A1:P1"/>
    <mergeCell ref="M2:N2"/>
    <mergeCell ref="A3:C3"/>
    <mergeCell ref="E3:G3"/>
    <mergeCell ref="I3:K3"/>
    <mergeCell ref="M32:N32"/>
    <mergeCell ref="B36:C36"/>
    <mergeCell ref="F36:G36"/>
    <mergeCell ref="J36:K36"/>
    <mergeCell ref="G41:H4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S55"/>
  <sheetViews>
    <sheetView topLeftCell="A19" workbookViewId="0">
      <selection activeCell="P29" sqref="P29"/>
    </sheetView>
  </sheetViews>
  <sheetFormatPr defaultColWidth="12.5703125" defaultRowHeight="15.75" customHeight="1" x14ac:dyDescent="0.2"/>
  <cols>
    <col min="1" max="1" width="6.28515625" customWidth="1"/>
    <col min="2" max="2" width="6.42578125" customWidth="1"/>
    <col min="3" max="3" width="6.5703125" customWidth="1"/>
    <col min="4" max="4" width="2.85546875" customWidth="1"/>
    <col min="5" max="5" width="6.28515625" customWidth="1"/>
    <col min="6" max="6" width="7.42578125" customWidth="1"/>
    <col min="7" max="7" width="6.5703125" customWidth="1"/>
    <col min="8" max="8" width="5.5703125" customWidth="1"/>
    <col min="9" max="9" width="5.42578125" customWidth="1"/>
    <col min="10" max="10" width="6.42578125" customWidth="1"/>
    <col min="11" max="11" width="6.5703125" customWidth="1"/>
    <col min="12" max="12" width="5.7109375" customWidth="1"/>
    <col min="13" max="13" width="12.85546875" customWidth="1"/>
    <col min="14" max="14" width="6.7109375" customWidth="1"/>
    <col min="15" max="15" width="5.5703125" customWidth="1"/>
    <col min="16" max="16" width="11.42578125" customWidth="1"/>
    <col min="17" max="17" width="20.7109375" customWidth="1"/>
  </cols>
  <sheetData>
    <row r="1" spans="1:17" ht="12.75" x14ac:dyDescent="0.2">
      <c r="A1" s="80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79"/>
      <c r="Q1" s="1"/>
    </row>
    <row r="2" spans="1:17" ht="12.7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5" t="s">
        <v>1</v>
      </c>
      <c r="N2" s="79"/>
      <c r="O2" s="1"/>
      <c r="P2" s="1"/>
      <c r="Q2" s="1"/>
    </row>
    <row r="3" spans="1:17" ht="12.75" x14ac:dyDescent="0.2">
      <c r="A3" s="86" t="s">
        <v>2</v>
      </c>
      <c r="B3" s="84"/>
      <c r="C3" s="79"/>
      <c r="D3" s="1"/>
      <c r="E3" s="87" t="s">
        <v>3</v>
      </c>
      <c r="F3" s="84"/>
      <c r="G3" s="79"/>
      <c r="H3" s="1"/>
      <c r="I3" s="88" t="s">
        <v>4</v>
      </c>
      <c r="J3" s="84"/>
      <c r="K3" s="79"/>
      <c r="L3" s="1"/>
      <c r="M3" s="2" t="s">
        <v>5</v>
      </c>
      <c r="N3" s="3" t="s">
        <v>6</v>
      </c>
      <c r="O3" s="1"/>
      <c r="P3" s="1"/>
      <c r="Q3" s="1"/>
    </row>
    <row r="4" spans="1:17" ht="12.75" x14ac:dyDescent="0.2">
      <c r="A4" s="4" t="s">
        <v>7</v>
      </c>
      <c r="B4" s="4" t="s">
        <v>8</v>
      </c>
      <c r="C4" s="4" t="s">
        <v>9</v>
      </c>
      <c r="D4" s="1"/>
      <c r="E4" s="4" t="s">
        <v>7</v>
      </c>
      <c r="F4" s="4" t="s">
        <v>8</v>
      </c>
      <c r="G4" s="4" t="s">
        <v>9</v>
      </c>
      <c r="H4" s="1"/>
      <c r="I4" s="4" t="s">
        <v>7</v>
      </c>
      <c r="J4" s="4" t="s">
        <v>8</v>
      </c>
      <c r="K4" s="4" t="s">
        <v>9</v>
      </c>
      <c r="L4" s="1"/>
      <c r="M4" s="16" t="s">
        <v>69</v>
      </c>
      <c r="N4" s="16">
        <v>19000</v>
      </c>
      <c r="O4" s="11">
        <v>7000</v>
      </c>
      <c r="P4" s="1"/>
      <c r="Q4" s="1"/>
    </row>
    <row r="5" spans="1:17" ht="12.75" x14ac:dyDescent="0.2">
      <c r="A5" s="5">
        <v>1</v>
      </c>
      <c r="B5" s="20">
        <v>17880</v>
      </c>
      <c r="C5" s="20">
        <v>7681</v>
      </c>
      <c r="D5" s="11"/>
      <c r="E5" s="5">
        <v>1</v>
      </c>
      <c r="F5" s="20">
        <v>55155</v>
      </c>
      <c r="G5" s="20">
        <v>2810</v>
      </c>
      <c r="H5" s="7"/>
      <c r="I5" s="5">
        <v>1</v>
      </c>
      <c r="J5" s="20">
        <v>2300</v>
      </c>
      <c r="K5" s="20">
        <v>0</v>
      </c>
      <c r="L5" s="1"/>
      <c r="M5" s="4" t="s">
        <v>12</v>
      </c>
      <c r="N5" s="20">
        <v>20000</v>
      </c>
      <c r="O5" s="11">
        <v>7000</v>
      </c>
      <c r="P5" s="1"/>
      <c r="Q5" s="1"/>
    </row>
    <row r="6" spans="1:17" ht="12.75" x14ac:dyDescent="0.2">
      <c r="A6" s="5">
        <v>2</v>
      </c>
      <c r="B6" s="20">
        <v>0</v>
      </c>
      <c r="C6" s="20">
        <v>0</v>
      </c>
      <c r="D6" s="29"/>
      <c r="E6" s="5">
        <v>2</v>
      </c>
      <c r="F6" s="20">
        <v>46834</v>
      </c>
      <c r="G6" s="20">
        <v>32250</v>
      </c>
      <c r="H6" s="7"/>
      <c r="I6" s="5">
        <v>2</v>
      </c>
      <c r="J6" s="20">
        <v>38800</v>
      </c>
      <c r="K6" s="20">
        <v>0</v>
      </c>
      <c r="L6" s="11"/>
      <c r="M6" s="4" t="s">
        <v>15</v>
      </c>
      <c r="N6" s="20">
        <v>18000</v>
      </c>
      <c r="O6" s="11">
        <v>6000</v>
      </c>
      <c r="P6" s="1"/>
      <c r="Q6" s="1"/>
    </row>
    <row r="7" spans="1:17" ht="12.75" x14ac:dyDescent="0.2">
      <c r="A7" s="5">
        <v>3</v>
      </c>
      <c r="B7" s="20">
        <v>11130</v>
      </c>
      <c r="C7" s="20">
        <v>7839</v>
      </c>
      <c r="D7" s="7"/>
      <c r="E7" s="5">
        <v>3</v>
      </c>
      <c r="F7" s="20">
        <v>48287</v>
      </c>
      <c r="G7" s="20">
        <v>30671</v>
      </c>
      <c r="H7" s="7"/>
      <c r="I7" s="5">
        <v>3</v>
      </c>
      <c r="J7" s="20">
        <v>3300</v>
      </c>
      <c r="K7" s="20">
        <v>0</v>
      </c>
      <c r="L7" s="11"/>
      <c r="M7" s="4" t="s">
        <v>19</v>
      </c>
      <c r="N7" s="20">
        <v>15000</v>
      </c>
      <c r="O7" s="11">
        <v>5000</v>
      </c>
      <c r="P7" s="1"/>
      <c r="Q7" s="1"/>
    </row>
    <row r="8" spans="1:17" ht="12.75" x14ac:dyDescent="0.2">
      <c r="A8" s="5">
        <v>4</v>
      </c>
      <c r="B8" s="19">
        <v>8450</v>
      </c>
      <c r="C8" s="19">
        <v>7440</v>
      </c>
      <c r="D8" s="11"/>
      <c r="E8" s="5">
        <v>4</v>
      </c>
      <c r="F8" s="19">
        <v>52415</v>
      </c>
      <c r="G8" s="19">
        <v>25244</v>
      </c>
      <c r="H8" s="11"/>
      <c r="I8" s="5">
        <v>4</v>
      </c>
      <c r="J8" s="19">
        <v>33800</v>
      </c>
      <c r="K8" s="19">
        <v>0</v>
      </c>
      <c r="L8" s="1"/>
      <c r="M8" s="4" t="s">
        <v>22</v>
      </c>
      <c r="N8" s="20">
        <v>13000</v>
      </c>
      <c r="O8" s="11">
        <v>4000</v>
      </c>
      <c r="P8" s="1"/>
      <c r="Q8" s="1"/>
    </row>
    <row r="9" spans="1:17" ht="12.75" x14ac:dyDescent="0.2">
      <c r="A9" s="5">
        <v>5</v>
      </c>
      <c r="B9" s="19">
        <v>9039</v>
      </c>
      <c r="C9" s="19">
        <v>5492</v>
      </c>
      <c r="D9" s="11"/>
      <c r="E9" s="5">
        <v>5</v>
      </c>
      <c r="F9" s="19">
        <v>48360</v>
      </c>
      <c r="G9" s="19">
        <v>23284</v>
      </c>
      <c r="H9" s="11"/>
      <c r="I9" s="5">
        <v>5</v>
      </c>
      <c r="J9" s="19">
        <v>44700</v>
      </c>
      <c r="K9" s="19">
        <v>0</v>
      </c>
      <c r="L9" s="1"/>
      <c r="M9" s="4"/>
      <c r="N9" s="20"/>
      <c r="O9" s="11"/>
      <c r="P9" s="1"/>
      <c r="Q9" s="1"/>
    </row>
    <row r="10" spans="1:17" ht="12.75" x14ac:dyDescent="0.2">
      <c r="A10" s="5">
        <v>6</v>
      </c>
      <c r="B10" s="19">
        <v>6010</v>
      </c>
      <c r="C10" s="19">
        <v>5860</v>
      </c>
      <c r="D10" s="11"/>
      <c r="E10" s="5">
        <v>6</v>
      </c>
      <c r="F10" s="19">
        <v>35439</v>
      </c>
      <c r="G10" s="19">
        <v>29739</v>
      </c>
      <c r="H10" s="11"/>
      <c r="I10" s="5">
        <v>6</v>
      </c>
      <c r="J10" s="19">
        <v>17000</v>
      </c>
      <c r="K10" s="19">
        <v>0</v>
      </c>
      <c r="L10" s="11"/>
      <c r="M10" s="19" t="s">
        <v>29</v>
      </c>
      <c r="N10" s="20">
        <v>19000</v>
      </c>
      <c r="O10" s="11">
        <v>7000</v>
      </c>
      <c r="P10" s="1"/>
      <c r="Q10" s="1"/>
    </row>
    <row r="11" spans="1:17" ht="12.75" x14ac:dyDescent="0.2">
      <c r="A11" s="5">
        <v>7</v>
      </c>
      <c r="B11" s="19">
        <v>15060</v>
      </c>
      <c r="C11" s="19">
        <v>10825</v>
      </c>
      <c r="D11" s="11"/>
      <c r="E11" s="5">
        <v>7</v>
      </c>
      <c r="F11" s="19">
        <v>53025</v>
      </c>
      <c r="G11" s="19">
        <v>19464</v>
      </c>
      <c r="H11" s="11"/>
      <c r="I11" s="5">
        <v>7</v>
      </c>
      <c r="J11" s="19">
        <v>8000</v>
      </c>
      <c r="K11" s="19">
        <v>0</v>
      </c>
      <c r="L11" s="11"/>
      <c r="M11" s="19" t="s">
        <v>128</v>
      </c>
      <c r="N11" s="20">
        <v>16000</v>
      </c>
      <c r="O11" s="40">
        <v>5000</v>
      </c>
      <c r="P11" s="1"/>
      <c r="Q11" s="1"/>
    </row>
    <row r="12" spans="1:17" ht="12.75" x14ac:dyDescent="0.2">
      <c r="A12" s="5">
        <v>8</v>
      </c>
      <c r="B12" s="19">
        <v>14556</v>
      </c>
      <c r="C12" s="19">
        <v>9471</v>
      </c>
      <c r="D12" s="11"/>
      <c r="E12" s="5">
        <v>8</v>
      </c>
      <c r="F12" s="19">
        <v>47371</v>
      </c>
      <c r="G12" s="19">
        <v>26796</v>
      </c>
      <c r="H12" s="11"/>
      <c r="I12" s="5">
        <v>8</v>
      </c>
      <c r="J12" s="19">
        <v>14100</v>
      </c>
      <c r="K12" s="19">
        <v>0</v>
      </c>
      <c r="L12" s="11"/>
      <c r="M12" s="19" t="s">
        <v>74</v>
      </c>
      <c r="N12" s="20">
        <v>13350</v>
      </c>
      <c r="O12" s="11">
        <v>4000</v>
      </c>
      <c r="P12" s="1"/>
      <c r="Q12" s="1"/>
    </row>
    <row r="13" spans="1:17" ht="12.75" x14ac:dyDescent="0.2">
      <c r="A13" s="5">
        <v>9</v>
      </c>
      <c r="B13" s="19">
        <v>0</v>
      </c>
      <c r="C13" s="19">
        <v>0</v>
      </c>
      <c r="D13" s="11"/>
      <c r="E13" s="5">
        <v>9</v>
      </c>
      <c r="F13" s="19">
        <v>5710</v>
      </c>
      <c r="G13" s="19">
        <v>24215</v>
      </c>
      <c r="H13" s="11"/>
      <c r="I13" s="5">
        <v>9</v>
      </c>
      <c r="J13" s="19">
        <v>53100</v>
      </c>
      <c r="K13" s="19">
        <v>0</v>
      </c>
      <c r="L13" s="11"/>
      <c r="M13" s="19" t="s">
        <v>87</v>
      </c>
      <c r="N13" s="19">
        <v>13000</v>
      </c>
      <c r="O13" s="11">
        <v>4000</v>
      </c>
      <c r="P13" s="1"/>
      <c r="Q13" s="1"/>
    </row>
    <row r="14" spans="1:17" ht="12.75" x14ac:dyDescent="0.2">
      <c r="A14" s="5">
        <v>10</v>
      </c>
      <c r="B14" s="19">
        <v>9930</v>
      </c>
      <c r="C14" s="19">
        <v>9447</v>
      </c>
      <c r="D14" s="11"/>
      <c r="E14" s="5">
        <v>10</v>
      </c>
      <c r="F14" s="19">
        <v>50433</v>
      </c>
      <c r="G14" s="19">
        <v>11625</v>
      </c>
      <c r="H14" s="11"/>
      <c r="I14" s="5">
        <v>10</v>
      </c>
      <c r="J14" s="19">
        <v>103800</v>
      </c>
      <c r="K14" s="19">
        <v>0</v>
      </c>
      <c r="L14" s="1"/>
      <c r="M14" s="19" t="s">
        <v>134</v>
      </c>
      <c r="N14" s="19">
        <v>15000</v>
      </c>
      <c r="O14" s="11">
        <v>5000</v>
      </c>
      <c r="P14" s="1"/>
      <c r="Q14" s="1"/>
    </row>
    <row r="15" spans="1:17" ht="12.75" x14ac:dyDescent="0.2">
      <c r="A15" s="5">
        <v>11</v>
      </c>
      <c r="B15" s="19">
        <v>7135</v>
      </c>
      <c r="C15" s="19">
        <v>6933</v>
      </c>
      <c r="D15" s="11"/>
      <c r="E15" s="5">
        <v>11</v>
      </c>
      <c r="F15" s="19">
        <v>60298</v>
      </c>
      <c r="G15" s="19">
        <v>21588</v>
      </c>
      <c r="H15" s="11"/>
      <c r="I15" s="5">
        <v>11</v>
      </c>
      <c r="J15" s="19">
        <v>22500</v>
      </c>
      <c r="K15" s="19">
        <v>0</v>
      </c>
      <c r="L15" s="1"/>
      <c r="M15" s="12" t="s">
        <v>79</v>
      </c>
      <c r="N15" s="13">
        <f>SUM(N4:N14)</f>
        <v>161350</v>
      </c>
      <c r="O15" s="1"/>
      <c r="P15" s="1"/>
      <c r="Q15" s="1"/>
    </row>
    <row r="16" spans="1:17" ht="12.75" x14ac:dyDescent="0.2">
      <c r="A16" s="5">
        <v>12</v>
      </c>
      <c r="B16" s="19">
        <v>8090</v>
      </c>
      <c r="C16" s="19">
        <v>5887</v>
      </c>
      <c r="D16" s="11"/>
      <c r="E16" s="5">
        <v>12</v>
      </c>
      <c r="F16" s="19">
        <v>45749</v>
      </c>
      <c r="G16" s="19">
        <v>23400</v>
      </c>
      <c r="H16" s="11"/>
      <c r="I16" s="5">
        <v>12</v>
      </c>
      <c r="J16" s="19">
        <v>41600</v>
      </c>
      <c r="K16" s="19">
        <v>0</v>
      </c>
      <c r="L16" s="1"/>
      <c r="M16" s="25"/>
      <c r="N16" s="6"/>
      <c r="O16" s="1"/>
      <c r="P16" s="1"/>
      <c r="Q16" s="1"/>
    </row>
    <row r="17" spans="1:19" ht="12.75" x14ac:dyDescent="0.2">
      <c r="A17" s="5">
        <v>13</v>
      </c>
      <c r="B17" s="19">
        <v>9032</v>
      </c>
      <c r="C17" s="19">
        <v>6448</v>
      </c>
      <c r="D17" s="11"/>
      <c r="E17" s="5">
        <v>13</v>
      </c>
      <c r="F17" s="19">
        <v>49324</v>
      </c>
      <c r="G17" s="19">
        <v>29083</v>
      </c>
      <c r="H17" s="11"/>
      <c r="I17" s="5">
        <v>13</v>
      </c>
      <c r="J17" s="19">
        <v>7800</v>
      </c>
      <c r="K17" s="19">
        <v>0</v>
      </c>
      <c r="L17" s="1"/>
      <c r="M17" s="78" t="s">
        <v>37</v>
      </c>
      <c r="N17" s="79"/>
      <c r="O17" s="1"/>
      <c r="P17" s="80" t="s">
        <v>38</v>
      </c>
      <c r="Q17" s="79"/>
      <c r="S17" s="42">
        <f>Q21/Q19</f>
        <v>0.44350069464624631</v>
      </c>
    </row>
    <row r="18" spans="1:19" ht="12.75" x14ac:dyDescent="0.2">
      <c r="A18" s="5">
        <v>14</v>
      </c>
      <c r="B18" s="19">
        <v>7100</v>
      </c>
      <c r="C18" s="19">
        <v>6556</v>
      </c>
      <c r="D18" s="11"/>
      <c r="E18" s="5">
        <v>14</v>
      </c>
      <c r="F18" s="19">
        <v>46064</v>
      </c>
      <c r="G18" s="19">
        <v>23142</v>
      </c>
      <c r="H18" s="11"/>
      <c r="I18" s="5">
        <v>14</v>
      </c>
      <c r="J18" s="19">
        <v>13900</v>
      </c>
      <c r="K18" s="19">
        <v>0</v>
      </c>
      <c r="L18" s="1"/>
      <c r="M18" s="2" t="s">
        <v>39</v>
      </c>
      <c r="N18" s="3" t="s">
        <v>6</v>
      </c>
      <c r="O18" s="1"/>
      <c r="P18" s="2" t="s">
        <v>5</v>
      </c>
      <c r="Q18" s="3" t="s">
        <v>6</v>
      </c>
    </row>
    <row r="19" spans="1:19" ht="12.75" x14ac:dyDescent="0.2">
      <c r="A19" s="5">
        <v>15</v>
      </c>
      <c r="B19" s="19">
        <v>9833</v>
      </c>
      <c r="C19" s="19">
        <v>7606</v>
      </c>
      <c r="D19" s="11"/>
      <c r="E19" s="5">
        <v>15</v>
      </c>
      <c r="F19" s="19">
        <v>69506</v>
      </c>
      <c r="G19" s="19">
        <v>25402</v>
      </c>
      <c r="H19" s="11"/>
      <c r="I19" s="5">
        <v>15</v>
      </c>
      <c r="J19" s="19">
        <v>50400</v>
      </c>
      <c r="K19" s="19">
        <v>0</v>
      </c>
      <c r="L19" s="1"/>
      <c r="M19" s="4" t="s">
        <v>41</v>
      </c>
      <c r="N19" s="20">
        <v>150000</v>
      </c>
      <c r="O19" s="1"/>
      <c r="P19" s="4" t="s">
        <v>42</v>
      </c>
      <c r="Q19" s="5">
        <f>B35+F35+J35</f>
        <v>2481119</v>
      </c>
    </row>
    <row r="20" spans="1:19" ht="12.75" x14ac:dyDescent="0.2">
      <c r="A20" s="5">
        <v>16</v>
      </c>
      <c r="B20" s="19">
        <v>0</v>
      </c>
      <c r="C20" s="19">
        <v>0</v>
      </c>
      <c r="D20" s="11"/>
      <c r="E20" s="5">
        <v>16</v>
      </c>
      <c r="F20" s="19">
        <v>27888</v>
      </c>
      <c r="G20" s="19">
        <v>14225</v>
      </c>
      <c r="H20" s="11"/>
      <c r="I20" s="5">
        <v>16</v>
      </c>
      <c r="J20" s="19">
        <v>14700</v>
      </c>
      <c r="K20" s="19">
        <v>0</v>
      </c>
      <c r="L20" s="11"/>
      <c r="M20" s="4" t="s">
        <v>43</v>
      </c>
      <c r="N20" s="19">
        <f>8696+47365</f>
        <v>56061</v>
      </c>
      <c r="O20" s="1"/>
      <c r="P20" s="4" t="s">
        <v>44</v>
      </c>
      <c r="Q20" s="5">
        <f>C35+G35+K35+N15+N30+N55</f>
        <v>1380741</v>
      </c>
    </row>
    <row r="21" spans="1:19" ht="12.75" x14ac:dyDescent="0.2">
      <c r="A21" s="5">
        <v>17</v>
      </c>
      <c r="B21" s="19">
        <v>8880</v>
      </c>
      <c r="C21" s="19">
        <v>6506</v>
      </c>
      <c r="D21" s="11"/>
      <c r="E21" s="5">
        <v>17</v>
      </c>
      <c r="F21" s="19">
        <v>37537</v>
      </c>
      <c r="G21" s="19">
        <v>23313</v>
      </c>
      <c r="H21" s="11"/>
      <c r="I21" s="5">
        <v>17</v>
      </c>
      <c r="J21" s="19">
        <v>44500</v>
      </c>
      <c r="K21" s="19">
        <v>0</v>
      </c>
      <c r="L21" s="1"/>
      <c r="M21" s="4" t="s">
        <v>46</v>
      </c>
      <c r="N21" s="20">
        <v>3000</v>
      </c>
      <c r="O21" s="1"/>
      <c r="P21" s="26" t="s">
        <v>47</v>
      </c>
      <c r="Q21" s="27">
        <f>Q19-Q20</f>
        <v>1100378</v>
      </c>
      <c r="R21" s="40" t="s">
        <v>158</v>
      </c>
    </row>
    <row r="22" spans="1:19" ht="12.75" x14ac:dyDescent="0.2">
      <c r="A22" s="5">
        <v>18</v>
      </c>
      <c r="B22" s="19">
        <v>12145</v>
      </c>
      <c r="C22" s="19">
        <v>9879</v>
      </c>
      <c r="D22" s="11"/>
      <c r="E22" s="5">
        <v>18</v>
      </c>
      <c r="F22" s="19">
        <v>42360</v>
      </c>
      <c r="G22" s="19">
        <v>18864</v>
      </c>
      <c r="H22" s="11"/>
      <c r="I22" s="5">
        <v>18</v>
      </c>
      <c r="J22" s="19">
        <v>55900</v>
      </c>
      <c r="K22" s="19">
        <v>0</v>
      </c>
      <c r="L22" s="1"/>
      <c r="M22" s="19"/>
      <c r="N22" s="19"/>
      <c r="O22" s="1"/>
      <c r="P22" s="4" t="s">
        <v>49</v>
      </c>
      <c r="Q22" s="20">
        <v>35000</v>
      </c>
    </row>
    <row r="23" spans="1:19" ht="12.75" x14ac:dyDescent="0.2">
      <c r="A23" s="5">
        <v>19</v>
      </c>
      <c r="B23" s="20">
        <v>3900</v>
      </c>
      <c r="C23" s="67">
        <v>2656</v>
      </c>
      <c r="D23" s="11"/>
      <c r="E23" s="5">
        <v>19</v>
      </c>
      <c r="F23" s="19">
        <v>38740</v>
      </c>
      <c r="G23" s="19">
        <v>13701</v>
      </c>
      <c r="H23" s="11"/>
      <c r="I23" s="5">
        <v>19</v>
      </c>
      <c r="J23" s="19">
        <v>26600</v>
      </c>
      <c r="K23" s="19">
        <v>0</v>
      </c>
      <c r="L23" s="1"/>
      <c r="M23" s="4" t="s">
        <v>50</v>
      </c>
      <c r="N23" s="20">
        <v>2490</v>
      </c>
      <c r="O23" s="1"/>
      <c r="P23" s="11" t="s">
        <v>133</v>
      </c>
      <c r="Q23" s="1">
        <f>C35+G35+K35</f>
        <v>916890</v>
      </c>
    </row>
    <row r="24" spans="1:19" ht="12.75" x14ac:dyDescent="0.2">
      <c r="A24" s="5">
        <v>20</v>
      </c>
      <c r="B24" s="19">
        <v>12079</v>
      </c>
      <c r="C24" s="19">
        <v>8622</v>
      </c>
      <c r="D24" s="11"/>
      <c r="E24" s="5">
        <v>20</v>
      </c>
      <c r="F24" s="19">
        <v>41381</v>
      </c>
      <c r="G24" s="19">
        <v>26083</v>
      </c>
      <c r="H24" s="11"/>
      <c r="I24" s="5">
        <v>20</v>
      </c>
      <c r="J24" s="19">
        <v>15500</v>
      </c>
      <c r="K24" s="19">
        <v>0</v>
      </c>
      <c r="L24" s="1"/>
      <c r="M24" s="4" t="s">
        <v>51</v>
      </c>
      <c r="N24" s="20">
        <v>5000</v>
      </c>
      <c r="O24" s="1"/>
      <c r="P24" s="1"/>
      <c r="Q24" s="1"/>
    </row>
    <row r="25" spans="1:19" ht="12.75" x14ac:dyDescent="0.2">
      <c r="A25" s="5">
        <v>21</v>
      </c>
      <c r="B25" s="19">
        <v>7175</v>
      </c>
      <c r="C25" s="19">
        <v>6882</v>
      </c>
      <c r="D25" s="11"/>
      <c r="E25" s="5">
        <v>21</v>
      </c>
      <c r="F25" s="19">
        <v>45406</v>
      </c>
      <c r="G25" s="19">
        <v>21071</v>
      </c>
      <c r="H25" s="11"/>
      <c r="I25" s="5">
        <v>21</v>
      </c>
      <c r="J25" s="19">
        <v>22200</v>
      </c>
      <c r="K25" s="19">
        <v>0</v>
      </c>
      <c r="L25" s="11"/>
      <c r="M25" s="19"/>
      <c r="N25" s="19"/>
      <c r="O25" s="1"/>
      <c r="P25" s="1"/>
      <c r="Q25" s="1"/>
    </row>
    <row r="26" spans="1:19" ht="12.75" x14ac:dyDescent="0.2">
      <c r="A26" s="5">
        <v>22</v>
      </c>
      <c r="B26" s="19">
        <v>10252</v>
      </c>
      <c r="C26" s="19">
        <v>8700</v>
      </c>
      <c r="D26" s="11"/>
      <c r="E26" s="5">
        <v>22</v>
      </c>
      <c r="F26" s="19">
        <v>54394</v>
      </c>
      <c r="G26" s="19">
        <v>24595</v>
      </c>
      <c r="H26" s="11"/>
      <c r="I26" s="5">
        <v>22</v>
      </c>
      <c r="J26" s="19">
        <v>4500</v>
      </c>
      <c r="K26" s="19">
        <v>0</v>
      </c>
      <c r="L26" s="1"/>
      <c r="M26" s="19"/>
      <c r="N26" s="19"/>
      <c r="O26" s="1"/>
      <c r="P26" s="1"/>
      <c r="Q26" s="1"/>
    </row>
    <row r="27" spans="1:19" ht="15.75" customHeight="1" x14ac:dyDescent="0.4">
      <c r="A27" s="5">
        <v>23</v>
      </c>
      <c r="B27" s="19">
        <v>0</v>
      </c>
      <c r="C27" s="19">
        <v>0</v>
      </c>
      <c r="D27" s="11"/>
      <c r="E27" s="5">
        <v>23</v>
      </c>
      <c r="F27" s="19">
        <v>31604</v>
      </c>
      <c r="G27" s="19">
        <v>17201</v>
      </c>
      <c r="H27" s="11"/>
      <c r="I27" s="5">
        <v>23</v>
      </c>
      <c r="J27" s="19">
        <v>0</v>
      </c>
      <c r="K27" s="19">
        <v>0</v>
      </c>
      <c r="L27" s="1"/>
      <c r="M27" s="19"/>
      <c r="N27" s="19"/>
      <c r="O27" s="1"/>
      <c r="P27" s="19" t="s">
        <v>139</v>
      </c>
      <c r="Q27" s="63">
        <f>(N15+N55)-Z17</f>
        <v>247300</v>
      </c>
    </row>
    <row r="28" spans="1:19" ht="15.75" customHeight="1" x14ac:dyDescent="0.4">
      <c r="A28" s="5">
        <v>24</v>
      </c>
      <c r="B28" s="19">
        <v>8622</v>
      </c>
      <c r="C28" s="19">
        <v>7550</v>
      </c>
      <c r="D28" s="11"/>
      <c r="E28" s="5">
        <v>24</v>
      </c>
      <c r="F28" s="19">
        <v>47062</v>
      </c>
      <c r="G28" s="19">
        <v>20420</v>
      </c>
      <c r="H28" s="11"/>
      <c r="I28" s="5">
        <v>24</v>
      </c>
      <c r="J28" s="19">
        <v>16000</v>
      </c>
      <c r="K28" s="19">
        <v>0</v>
      </c>
      <c r="L28" s="1"/>
      <c r="M28" s="4"/>
      <c r="N28" s="4"/>
      <c r="O28" s="1"/>
      <c r="P28" s="19" t="s">
        <v>140</v>
      </c>
      <c r="Q28" s="64">
        <f>O45</f>
        <v>81000</v>
      </c>
    </row>
    <row r="29" spans="1:19" ht="12.75" x14ac:dyDescent="0.2">
      <c r="A29" s="5">
        <v>25</v>
      </c>
      <c r="B29" s="19">
        <v>9906</v>
      </c>
      <c r="C29" s="19">
        <v>8015</v>
      </c>
      <c r="D29" s="11"/>
      <c r="E29" s="5">
        <v>25</v>
      </c>
      <c r="F29" s="19">
        <v>44046</v>
      </c>
      <c r="G29" s="19">
        <v>23670</v>
      </c>
      <c r="H29" s="11"/>
      <c r="I29" s="5">
        <v>25</v>
      </c>
      <c r="J29" s="19">
        <v>2500</v>
      </c>
      <c r="K29" s="19">
        <v>0</v>
      </c>
      <c r="L29" s="1"/>
      <c r="M29" s="4"/>
      <c r="N29" s="4"/>
      <c r="O29" s="1"/>
      <c r="P29" s="19" t="s">
        <v>141</v>
      </c>
      <c r="Q29" s="4">
        <f>Q27-Q28</f>
        <v>166300</v>
      </c>
    </row>
    <row r="30" spans="1:19" ht="12.75" x14ac:dyDescent="0.2">
      <c r="A30" s="5">
        <v>26</v>
      </c>
      <c r="B30" s="19">
        <v>13842</v>
      </c>
      <c r="C30" s="19">
        <v>11257</v>
      </c>
      <c r="D30" s="11"/>
      <c r="E30" s="5">
        <v>26</v>
      </c>
      <c r="F30" s="19">
        <v>53590</v>
      </c>
      <c r="G30" s="19">
        <v>38537</v>
      </c>
      <c r="H30" s="11"/>
      <c r="I30" s="5">
        <v>26</v>
      </c>
      <c r="J30" s="19">
        <v>9000</v>
      </c>
      <c r="K30" s="19">
        <v>0</v>
      </c>
      <c r="L30" s="1"/>
      <c r="M30" s="12" t="s">
        <v>36</v>
      </c>
      <c r="N30" s="13">
        <f>SUM(N19:N29)</f>
        <v>216551</v>
      </c>
      <c r="O30" s="1"/>
      <c r="P30" s="1"/>
      <c r="Q30" s="11"/>
    </row>
    <row r="31" spans="1:19" ht="12.75" x14ac:dyDescent="0.2">
      <c r="A31" s="5">
        <v>27</v>
      </c>
      <c r="B31" s="19">
        <v>19225</v>
      </c>
      <c r="C31" s="19">
        <v>16305</v>
      </c>
      <c r="D31" s="11"/>
      <c r="E31" s="5">
        <v>27</v>
      </c>
      <c r="F31" s="19">
        <v>42378</v>
      </c>
      <c r="G31" s="19">
        <v>19155</v>
      </c>
      <c r="H31" s="11"/>
      <c r="I31" s="5">
        <v>27</v>
      </c>
      <c r="J31" s="19">
        <v>24700</v>
      </c>
      <c r="K31" s="19">
        <v>0</v>
      </c>
      <c r="L31" s="1"/>
      <c r="M31" s="1"/>
      <c r="N31" s="1"/>
      <c r="O31" s="1"/>
      <c r="P31" s="1"/>
      <c r="Q31" s="1"/>
    </row>
    <row r="32" spans="1:19" ht="12.75" x14ac:dyDescent="0.2">
      <c r="A32" s="5">
        <v>28</v>
      </c>
      <c r="B32" s="19">
        <v>6350</v>
      </c>
      <c r="C32" s="19">
        <v>5679</v>
      </c>
      <c r="D32" s="11"/>
      <c r="E32" s="5">
        <v>28</v>
      </c>
      <c r="F32" s="19">
        <v>68162</v>
      </c>
      <c r="G32" s="19">
        <v>17738</v>
      </c>
      <c r="H32" s="1"/>
      <c r="I32" s="5">
        <v>28</v>
      </c>
      <c r="J32" s="19">
        <v>47400</v>
      </c>
      <c r="K32" s="19">
        <v>0</v>
      </c>
      <c r="L32" s="1"/>
      <c r="M32" s="81" t="s">
        <v>53</v>
      </c>
      <c r="N32" s="79"/>
      <c r="O32" s="1"/>
      <c r="P32" s="1"/>
      <c r="Q32" s="1"/>
    </row>
    <row r="33" spans="1:17" ht="12.75" x14ac:dyDescent="0.2">
      <c r="A33" s="5">
        <v>29</v>
      </c>
      <c r="B33" s="19">
        <v>8860</v>
      </c>
      <c r="C33" s="19">
        <v>8090</v>
      </c>
      <c r="D33" s="11"/>
      <c r="E33" s="5">
        <v>29</v>
      </c>
      <c r="F33" s="19">
        <v>83668</v>
      </c>
      <c r="G33" s="19">
        <v>36813</v>
      </c>
      <c r="H33" s="1"/>
      <c r="I33" s="5">
        <v>29</v>
      </c>
      <c r="J33" s="19">
        <v>18800</v>
      </c>
      <c r="K33" s="19">
        <v>0</v>
      </c>
      <c r="L33" s="1"/>
      <c r="M33" s="2" t="s">
        <v>39</v>
      </c>
      <c r="N33" s="3" t="s">
        <v>6</v>
      </c>
      <c r="O33" s="1"/>
      <c r="P33" s="1"/>
      <c r="Q33" s="1"/>
    </row>
    <row r="34" spans="1:17" ht="12.75" x14ac:dyDescent="0.2">
      <c r="A34" s="5">
        <v>30</v>
      </c>
      <c r="B34" s="19">
        <v>0</v>
      </c>
      <c r="C34" s="19">
        <v>0</v>
      </c>
      <c r="D34" s="11"/>
      <c r="E34" s="5">
        <v>30</v>
      </c>
      <c r="F34" s="19">
        <v>26215</v>
      </c>
      <c r="G34" s="19">
        <v>27076</v>
      </c>
      <c r="H34" s="1"/>
      <c r="I34" s="5">
        <v>30</v>
      </c>
      <c r="J34" s="19">
        <v>10500</v>
      </c>
      <c r="K34" s="19">
        <v>0</v>
      </c>
      <c r="L34" s="1"/>
      <c r="M34" s="19"/>
      <c r="N34" s="19"/>
      <c r="O34" s="11"/>
      <c r="P34" s="1"/>
      <c r="Q34" s="1"/>
    </row>
    <row r="35" spans="1:17" ht="12.75" x14ac:dyDescent="0.2">
      <c r="A35" s="12" t="s">
        <v>36</v>
      </c>
      <c r="B35" s="13">
        <f t="shared" ref="B35:C35" si="0">SUM(B5:B34)+B37</f>
        <v>272086</v>
      </c>
      <c r="C35" s="13">
        <f t="shared" si="0"/>
        <v>213718</v>
      </c>
      <c r="D35" s="1"/>
      <c r="E35" s="12" t="s">
        <v>36</v>
      </c>
      <c r="F35" s="13">
        <f t="shared" ref="F35:G35" si="1">SUM(F5:F34)+F37</f>
        <v>1436133</v>
      </c>
      <c r="G35" s="13">
        <f t="shared" si="1"/>
        <v>703172</v>
      </c>
      <c r="H35" s="1"/>
      <c r="I35" s="12" t="s">
        <v>36</v>
      </c>
      <c r="J35" s="13">
        <f t="shared" ref="J35:K35" si="2">SUM(J5:J34)+J37</f>
        <v>772900</v>
      </c>
      <c r="K35" s="13">
        <f t="shared" si="2"/>
        <v>0</v>
      </c>
      <c r="L35" s="11" t="s">
        <v>159</v>
      </c>
      <c r="M35" s="19" t="s">
        <v>102</v>
      </c>
      <c r="N35" s="19">
        <v>17000</v>
      </c>
      <c r="O35" s="11">
        <v>6000</v>
      </c>
      <c r="P35" s="1"/>
      <c r="Q35" s="1"/>
    </row>
    <row r="36" spans="1:17" ht="12.75" x14ac:dyDescent="0.2">
      <c r="A36" s="3" t="s">
        <v>56</v>
      </c>
      <c r="B36" s="82">
        <f>B35-C35</f>
        <v>58368</v>
      </c>
      <c r="C36" s="79"/>
      <c r="D36" s="1"/>
      <c r="E36" s="3" t="s">
        <v>56</v>
      </c>
      <c r="F36" s="82">
        <f>F35-G35</f>
        <v>732961</v>
      </c>
      <c r="G36" s="79"/>
      <c r="H36" s="1"/>
      <c r="I36" s="3" t="s">
        <v>56</v>
      </c>
      <c r="J36" s="82">
        <f>J35-K35</f>
        <v>772900</v>
      </c>
      <c r="K36" s="79"/>
      <c r="M36" s="19" t="s">
        <v>112</v>
      </c>
      <c r="N36" s="19">
        <v>11700</v>
      </c>
      <c r="O36" s="11">
        <v>4000</v>
      </c>
      <c r="P36" s="1"/>
      <c r="Q36" s="1"/>
    </row>
    <row r="37" spans="1:17" ht="12.75" x14ac:dyDescent="0.2">
      <c r="A37" s="5">
        <v>31</v>
      </c>
      <c r="B37" s="19">
        <v>17605</v>
      </c>
      <c r="C37" s="19">
        <v>16092</v>
      </c>
      <c r="D37" s="11"/>
      <c r="E37" s="5">
        <v>31</v>
      </c>
      <c r="F37" s="19">
        <v>37732</v>
      </c>
      <c r="G37" s="19">
        <v>11997</v>
      </c>
      <c r="H37" s="1"/>
      <c r="I37" s="5">
        <v>31</v>
      </c>
      <c r="J37" s="19">
        <v>5000</v>
      </c>
      <c r="K37" s="19">
        <v>0</v>
      </c>
      <c r="L37" s="60"/>
      <c r="M37" s="19" t="s">
        <v>142</v>
      </c>
      <c r="N37" s="19">
        <v>14000</v>
      </c>
      <c r="O37" s="11">
        <v>5000</v>
      </c>
      <c r="P37" s="1"/>
      <c r="Q37" s="1"/>
    </row>
    <row r="38" spans="1:17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4" t="s">
        <v>144</v>
      </c>
      <c r="N38" s="54">
        <v>11000</v>
      </c>
      <c r="O38" s="11">
        <v>4000</v>
      </c>
      <c r="P38" s="1">
        <f>C47-C48-Z17-N26-N27</f>
        <v>1564229</v>
      </c>
      <c r="Q38" s="1"/>
    </row>
    <row r="39" spans="1:17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1"/>
      <c r="M39" s="19" t="s">
        <v>160</v>
      </c>
      <c r="N39" s="19">
        <v>600</v>
      </c>
      <c r="O39" s="11"/>
      <c r="P39" s="1"/>
      <c r="Q39" s="1"/>
    </row>
    <row r="40" spans="1:1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1"/>
      <c r="M40" s="19" t="s">
        <v>149</v>
      </c>
      <c r="N40" s="19">
        <v>11000</v>
      </c>
      <c r="O40" s="11">
        <v>4000</v>
      </c>
      <c r="P40" s="1"/>
      <c r="Q40" s="1"/>
    </row>
    <row r="41" spans="1:17" ht="12.75" x14ac:dyDescent="0.2">
      <c r="A41" s="1"/>
      <c r="B41" s="1"/>
      <c r="C41" s="1"/>
      <c r="D41" s="1"/>
      <c r="E41" s="1"/>
      <c r="F41" s="1"/>
      <c r="G41" s="83" t="s">
        <v>130</v>
      </c>
      <c r="H41" s="79"/>
      <c r="I41" s="1"/>
      <c r="J41" s="1"/>
      <c r="K41" s="1"/>
      <c r="L41" s="1"/>
      <c r="M41" s="19" t="s">
        <v>150</v>
      </c>
      <c r="N41" s="19">
        <v>12000</v>
      </c>
      <c r="O41" s="11">
        <v>4000</v>
      </c>
      <c r="P41" s="1"/>
      <c r="Q41" s="1"/>
    </row>
    <row r="42" spans="1:17" ht="12.75" x14ac:dyDescent="0.2">
      <c r="A42" s="1"/>
      <c r="B42" s="1"/>
      <c r="C42" s="1"/>
      <c r="D42" s="1"/>
      <c r="E42" s="1"/>
      <c r="F42" s="1"/>
      <c r="G42" s="19" t="s">
        <v>106</v>
      </c>
      <c r="H42" s="19" t="s">
        <v>131</v>
      </c>
      <c r="I42" s="1"/>
      <c r="J42" s="1"/>
      <c r="K42" s="1"/>
      <c r="L42" s="11" t="s">
        <v>161</v>
      </c>
      <c r="M42" s="19" t="s">
        <v>156</v>
      </c>
      <c r="N42" s="19">
        <v>1500</v>
      </c>
      <c r="O42" s="1"/>
      <c r="P42" s="1"/>
      <c r="Q42" s="1"/>
    </row>
    <row r="43" spans="1:17" ht="12.75" x14ac:dyDescent="0.2">
      <c r="A43" s="1"/>
      <c r="B43" s="1"/>
      <c r="C43" s="1"/>
      <c r="D43" s="1"/>
      <c r="E43" s="1"/>
      <c r="F43" s="1"/>
      <c r="G43" s="62"/>
      <c r="H43" s="19"/>
      <c r="I43" s="1"/>
      <c r="J43" s="1"/>
      <c r="K43" s="1"/>
      <c r="L43" s="1"/>
      <c r="M43" s="19" t="s">
        <v>157</v>
      </c>
      <c r="N43" s="19">
        <v>150</v>
      </c>
      <c r="O43" s="1"/>
      <c r="P43" s="1"/>
      <c r="Q43" s="1"/>
    </row>
    <row r="44" spans="1:17" ht="12.75" x14ac:dyDescent="0.2">
      <c r="A44" s="1"/>
      <c r="B44" s="1"/>
      <c r="C44" s="1"/>
      <c r="D44" s="1"/>
      <c r="E44" s="1"/>
      <c r="F44" s="1"/>
      <c r="G44" s="62"/>
      <c r="H44" s="19"/>
      <c r="I44" s="1"/>
      <c r="J44" s="1"/>
      <c r="K44" s="1"/>
      <c r="L44" s="1"/>
      <c r="M44" s="19" t="s">
        <v>162</v>
      </c>
      <c r="N44" s="19">
        <v>7000</v>
      </c>
      <c r="O44" s="1"/>
      <c r="P44" s="1"/>
      <c r="Q44" s="1"/>
    </row>
    <row r="45" spans="1:17" ht="12.75" x14ac:dyDescent="0.2">
      <c r="A45" s="1"/>
      <c r="B45" s="1"/>
      <c r="C45" s="1"/>
      <c r="D45" s="1"/>
      <c r="E45" s="1"/>
      <c r="F45" s="1"/>
      <c r="G45" s="62"/>
      <c r="H45" s="19"/>
      <c r="I45" s="1"/>
      <c r="J45" s="1"/>
      <c r="K45" s="1"/>
      <c r="L45" s="1"/>
      <c r="M45" s="4"/>
      <c r="N45" s="4"/>
      <c r="O45" s="1">
        <f>SUM(O4:O44)</f>
        <v>81000</v>
      </c>
      <c r="P45" s="1"/>
      <c r="Q45" s="1"/>
    </row>
    <row r="46" spans="1:17" ht="12.75" x14ac:dyDescent="0.2">
      <c r="A46" s="1"/>
      <c r="B46" s="1"/>
      <c r="C46" s="1"/>
      <c r="D46" s="1"/>
      <c r="E46" s="1"/>
      <c r="F46" s="1"/>
      <c r="G46" s="62"/>
      <c r="H46" s="19"/>
      <c r="I46" s="1"/>
      <c r="J46" s="1"/>
      <c r="K46" s="1"/>
      <c r="L46" s="1"/>
      <c r="M46" s="4"/>
      <c r="N46" s="4"/>
      <c r="O46" s="1"/>
      <c r="P46" s="1"/>
      <c r="Q46" s="1"/>
    </row>
    <row r="47" spans="1:17" ht="12.75" x14ac:dyDescent="0.2">
      <c r="A47" s="1"/>
      <c r="B47" s="1"/>
      <c r="C47" s="1">
        <f>(B35+F35+J35)</f>
        <v>2481119</v>
      </c>
      <c r="D47" s="1"/>
      <c r="E47" s="1"/>
      <c r="F47" s="1"/>
      <c r="G47" s="62"/>
      <c r="H47" s="19"/>
      <c r="I47" s="1"/>
      <c r="J47" s="1"/>
      <c r="K47" s="1"/>
      <c r="L47" s="1"/>
      <c r="M47" s="4"/>
      <c r="N47" s="4"/>
      <c r="O47" s="1"/>
      <c r="P47" s="1"/>
      <c r="Q47" s="1"/>
    </row>
    <row r="48" spans="1:17" ht="12.75" x14ac:dyDescent="0.2">
      <c r="A48" s="1"/>
      <c r="B48" s="1"/>
      <c r="C48" s="42">
        <f>C35+G35</f>
        <v>916890</v>
      </c>
      <c r="D48" s="1"/>
      <c r="E48" s="1"/>
      <c r="F48" s="1"/>
      <c r="G48" s="62"/>
      <c r="H48" s="19"/>
      <c r="I48" s="1"/>
      <c r="J48" s="1"/>
      <c r="K48" s="1"/>
      <c r="L48" s="1"/>
      <c r="M48" s="4"/>
      <c r="N48" s="4"/>
      <c r="O48" s="1"/>
      <c r="P48" s="11">
        <v>105100</v>
      </c>
      <c r="Q48" s="1"/>
    </row>
    <row r="49" spans="1:17" ht="12.75" x14ac:dyDescent="0.2">
      <c r="A49" s="1"/>
      <c r="B49" s="1"/>
      <c r="C49" s="1">
        <f>C48/C47</f>
        <v>0.36954696650986912</v>
      </c>
      <c r="D49" s="1"/>
      <c r="E49" s="1"/>
      <c r="F49" s="1"/>
      <c r="G49" s="62"/>
      <c r="H49" s="19"/>
      <c r="I49" s="1"/>
      <c r="J49" s="1"/>
      <c r="K49" s="1"/>
      <c r="L49" s="1"/>
      <c r="M49" s="4"/>
      <c r="N49" s="4"/>
      <c r="O49" s="1"/>
      <c r="P49" s="1"/>
      <c r="Q49" s="1"/>
    </row>
    <row r="50" spans="1:17" ht="12.75" x14ac:dyDescent="0.2">
      <c r="A50" s="1"/>
      <c r="B50" s="1"/>
      <c r="C50" s="1"/>
      <c r="D50" s="1"/>
      <c r="E50" s="1"/>
      <c r="F50" s="1"/>
      <c r="G50" s="21"/>
      <c r="H50" s="19"/>
      <c r="I50" s="1"/>
      <c r="J50" s="1"/>
      <c r="K50" s="1"/>
      <c r="L50" s="1"/>
      <c r="M50" s="4"/>
      <c r="N50" s="4"/>
      <c r="O50" s="1"/>
      <c r="P50" s="1"/>
      <c r="Q50" s="1"/>
    </row>
    <row r="51" spans="1:17" ht="12.75" x14ac:dyDescent="0.2">
      <c r="A51" s="1"/>
      <c r="B51" s="1"/>
      <c r="C51" s="1"/>
      <c r="D51" s="1"/>
      <c r="E51" s="1"/>
      <c r="F51" s="1"/>
      <c r="G51" s="4"/>
      <c r="H51" s="4"/>
      <c r="I51" s="1"/>
      <c r="J51" s="1"/>
      <c r="K51" s="1"/>
      <c r="L51" s="1"/>
      <c r="M51" s="4"/>
      <c r="N51" s="4"/>
      <c r="O51" s="1"/>
      <c r="P51" s="1"/>
      <c r="Q51" s="1"/>
    </row>
    <row r="52" spans="1:1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4"/>
      <c r="O52" s="1"/>
      <c r="P52" s="1"/>
      <c r="Q52" s="1"/>
    </row>
    <row r="53" spans="1:1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4"/>
      <c r="O53" s="1"/>
      <c r="P53" s="1"/>
      <c r="Q53" s="1"/>
    </row>
    <row r="54" spans="1:1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4"/>
      <c r="O54" s="1"/>
      <c r="P54" s="1"/>
      <c r="Q54" s="1"/>
    </row>
    <row r="55" spans="1:1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 t="s">
        <v>36</v>
      </c>
      <c r="N55" s="5">
        <f>SUM(N34:N54)</f>
        <v>85950</v>
      </c>
      <c r="O55" s="1"/>
      <c r="P55" s="1"/>
      <c r="Q55" s="1"/>
    </row>
  </sheetData>
  <mergeCells count="12">
    <mergeCell ref="M17:N17"/>
    <mergeCell ref="P17:Q17"/>
    <mergeCell ref="A1:P1"/>
    <mergeCell ref="M2:N2"/>
    <mergeCell ref="A3:C3"/>
    <mergeCell ref="E3:G3"/>
    <mergeCell ref="I3:K3"/>
    <mergeCell ref="M32:N32"/>
    <mergeCell ref="B36:C36"/>
    <mergeCell ref="F36:G36"/>
    <mergeCell ref="J36:K36"/>
    <mergeCell ref="G41:H4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S55"/>
  <sheetViews>
    <sheetView topLeftCell="A43" workbookViewId="0">
      <selection activeCell="N55" sqref="N55"/>
    </sheetView>
  </sheetViews>
  <sheetFormatPr defaultColWidth="12.5703125" defaultRowHeight="15.75" customHeight="1" x14ac:dyDescent="0.2"/>
  <cols>
    <col min="1" max="1" width="5.42578125" customWidth="1"/>
    <col min="2" max="2" width="6.42578125" customWidth="1"/>
    <col min="3" max="3" width="6.5703125" customWidth="1"/>
    <col min="4" max="4" width="4.85546875" customWidth="1"/>
    <col min="5" max="6" width="6.42578125" customWidth="1"/>
    <col min="7" max="7" width="6.5703125" customWidth="1"/>
    <col min="8" max="8" width="4.5703125" customWidth="1"/>
    <col min="9" max="9" width="5.42578125" customWidth="1"/>
    <col min="10" max="10" width="6.42578125" customWidth="1"/>
    <col min="11" max="11" width="6.5703125" customWidth="1"/>
    <col min="12" max="12" width="5.85546875" customWidth="1"/>
    <col min="13" max="13" width="12.7109375" customWidth="1"/>
    <col min="14" max="14" width="6.7109375" customWidth="1"/>
    <col min="15" max="15" width="5.5703125" customWidth="1"/>
    <col min="16" max="16" width="11.42578125" customWidth="1"/>
    <col min="17" max="17" width="7.140625" customWidth="1"/>
  </cols>
  <sheetData>
    <row r="1" spans="1:17" ht="12.75" x14ac:dyDescent="0.2">
      <c r="A1" s="80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79"/>
      <c r="Q1" s="1"/>
    </row>
    <row r="2" spans="1:17" ht="12.7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5" t="s">
        <v>1</v>
      </c>
      <c r="N2" s="79"/>
      <c r="O2" s="1"/>
      <c r="P2" s="1"/>
      <c r="Q2" s="1"/>
    </row>
    <row r="3" spans="1:17" ht="12.75" x14ac:dyDescent="0.2">
      <c r="A3" s="86" t="s">
        <v>2</v>
      </c>
      <c r="B3" s="84"/>
      <c r="C3" s="79"/>
      <c r="D3" s="1"/>
      <c r="E3" s="87" t="s">
        <v>3</v>
      </c>
      <c r="F3" s="84"/>
      <c r="G3" s="79"/>
      <c r="H3" s="1"/>
      <c r="I3" s="88" t="s">
        <v>4</v>
      </c>
      <c r="J3" s="84"/>
      <c r="K3" s="79"/>
      <c r="L3" s="1"/>
      <c r="M3" s="2" t="s">
        <v>5</v>
      </c>
      <c r="N3" s="3" t="s">
        <v>6</v>
      </c>
      <c r="O3" s="1"/>
      <c r="P3" s="1"/>
      <c r="Q3" s="1"/>
    </row>
    <row r="4" spans="1:17" ht="12.75" x14ac:dyDescent="0.2">
      <c r="A4" s="4" t="s">
        <v>7</v>
      </c>
      <c r="B4" s="4" t="s">
        <v>8</v>
      </c>
      <c r="C4" s="4" t="s">
        <v>9</v>
      </c>
      <c r="D4" s="1"/>
      <c r="E4" s="4" t="s">
        <v>7</v>
      </c>
      <c r="F4" s="4" t="s">
        <v>8</v>
      </c>
      <c r="G4" s="4" t="s">
        <v>9</v>
      </c>
      <c r="H4" s="1"/>
      <c r="I4" s="4" t="s">
        <v>7</v>
      </c>
      <c r="J4" s="4" t="s">
        <v>8</v>
      </c>
      <c r="K4" s="4" t="s">
        <v>9</v>
      </c>
      <c r="L4" s="1"/>
      <c r="M4" s="16" t="s">
        <v>69</v>
      </c>
      <c r="N4" s="16">
        <v>19000</v>
      </c>
      <c r="O4" s="11">
        <v>7000</v>
      </c>
      <c r="P4" s="1"/>
      <c r="Q4" s="1"/>
    </row>
    <row r="5" spans="1:17" ht="12.75" x14ac:dyDescent="0.2">
      <c r="A5" s="5">
        <v>1</v>
      </c>
      <c r="B5" s="20">
        <v>11456</v>
      </c>
      <c r="C5" s="20">
        <v>7818</v>
      </c>
      <c r="D5" s="11"/>
      <c r="E5" s="5">
        <v>1</v>
      </c>
      <c r="F5" s="20">
        <v>51540</v>
      </c>
      <c r="G5" s="20">
        <v>19517</v>
      </c>
      <c r="H5" s="7"/>
      <c r="I5" s="5">
        <v>1</v>
      </c>
      <c r="J5" s="20">
        <v>70800</v>
      </c>
      <c r="K5" s="20">
        <v>0</v>
      </c>
      <c r="L5" s="1"/>
      <c r="M5" s="4" t="s">
        <v>12</v>
      </c>
      <c r="N5" s="20">
        <v>20000</v>
      </c>
      <c r="O5" s="11">
        <v>7000</v>
      </c>
      <c r="P5" s="1"/>
      <c r="Q5" s="1"/>
    </row>
    <row r="6" spans="1:17" ht="12.75" x14ac:dyDescent="0.2">
      <c r="A6" s="5">
        <v>2</v>
      </c>
      <c r="B6" s="20">
        <v>7261</v>
      </c>
      <c r="C6" s="20">
        <v>5883</v>
      </c>
      <c r="D6" s="29"/>
      <c r="E6" s="5">
        <v>2</v>
      </c>
      <c r="F6" s="20">
        <v>56878</v>
      </c>
      <c r="G6" s="20">
        <v>13146</v>
      </c>
      <c r="H6" s="7"/>
      <c r="I6" s="5">
        <v>2</v>
      </c>
      <c r="J6" s="20">
        <v>1500</v>
      </c>
      <c r="K6" s="20">
        <v>0</v>
      </c>
      <c r="L6" s="11"/>
      <c r="M6" s="4" t="s">
        <v>15</v>
      </c>
      <c r="N6" s="20">
        <v>18000</v>
      </c>
      <c r="O6" s="11">
        <v>6000</v>
      </c>
      <c r="P6" s="1"/>
      <c r="Q6" s="1"/>
    </row>
    <row r="7" spans="1:17" ht="12.75" x14ac:dyDescent="0.2">
      <c r="A7" s="5">
        <v>3</v>
      </c>
      <c r="B7" s="20">
        <v>8291</v>
      </c>
      <c r="C7" s="20">
        <v>7630</v>
      </c>
      <c r="D7" s="7"/>
      <c r="E7" s="5">
        <v>3</v>
      </c>
      <c r="F7" s="20">
        <v>49084</v>
      </c>
      <c r="G7" s="20">
        <v>17475</v>
      </c>
      <c r="H7" s="7"/>
      <c r="I7" s="5">
        <v>3</v>
      </c>
      <c r="J7" s="20">
        <v>42500</v>
      </c>
      <c r="K7" s="20">
        <v>0</v>
      </c>
      <c r="L7" s="11"/>
      <c r="M7" s="4" t="s">
        <v>19</v>
      </c>
      <c r="N7" s="20">
        <v>15200</v>
      </c>
      <c r="O7" s="11">
        <v>5000</v>
      </c>
      <c r="P7" s="1"/>
      <c r="Q7" s="1"/>
    </row>
    <row r="8" spans="1:17" ht="12.75" x14ac:dyDescent="0.2">
      <c r="A8" s="5">
        <v>4</v>
      </c>
      <c r="B8" s="19">
        <v>9325</v>
      </c>
      <c r="C8" s="19">
        <v>7593</v>
      </c>
      <c r="D8" s="11"/>
      <c r="E8" s="5">
        <v>4</v>
      </c>
      <c r="F8" s="19">
        <v>65177</v>
      </c>
      <c r="G8" s="19">
        <v>15881</v>
      </c>
      <c r="H8" s="11"/>
      <c r="I8" s="5">
        <v>4</v>
      </c>
      <c r="J8" s="19">
        <v>15500</v>
      </c>
      <c r="K8" s="19">
        <v>0</v>
      </c>
      <c r="L8" s="1"/>
      <c r="M8" s="4" t="s">
        <v>22</v>
      </c>
      <c r="N8" s="20">
        <v>13000</v>
      </c>
      <c r="O8" s="11">
        <v>4000</v>
      </c>
      <c r="P8" s="1"/>
      <c r="Q8" s="1"/>
    </row>
    <row r="9" spans="1:17" ht="12.75" x14ac:dyDescent="0.2">
      <c r="A9" s="5">
        <v>5</v>
      </c>
      <c r="B9" s="19">
        <v>11360</v>
      </c>
      <c r="C9" s="19">
        <v>8650</v>
      </c>
      <c r="D9" s="11"/>
      <c r="E9" s="5">
        <v>5</v>
      </c>
      <c r="F9" s="19">
        <v>46162</v>
      </c>
      <c r="G9" s="19">
        <v>29723</v>
      </c>
      <c r="H9" s="11"/>
      <c r="I9" s="5">
        <v>5</v>
      </c>
      <c r="J9" s="19">
        <v>28200</v>
      </c>
      <c r="K9" s="19">
        <v>0</v>
      </c>
      <c r="L9" s="1"/>
      <c r="M9" s="4"/>
      <c r="N9" s="20"/>
      <c r="O9" s="11"/>
      <c r="P9" s="1"/>
      <c r="Q9" s="1"/>
    </row>
    <row r="10" spans="1:17" ht="12.75" x14ac:dyDescent="0.2">
      <c r="A10" s="5">
        <v>6</v>
      </c>
      <c r="B10" s="19">
        <v>0</v>
      </c>
      <c r="C10" s="19">
        <v>0</v>
      </c>
      <c r="D10" s="11"/>
      <c r="E10" s="5">
        <v>6</v>
      </c>
      <c r="F10" s="19">
        <v>27627</v>
      </c>
      <c r="G10" s="19">
        <v>12627</v>
      </c>
      <c r="H10" s="11"/>
      <c r="I10" s="5">
        <v>6</v>
      </c>
      <c r="J10" s="19">
        <v>6000</v>
      </c>
      <c r="K10" s="19">
        <v>0</v>
      </c>
      <c r="L10" s="11"/>
      <c r="M10" s="19" t="s">
        <v>29</v>
      </c>
      <c r="N10" s="20">
        <v>19000</v>
      </c>
      <c r="O10" s="11">
        <v>7000</v>
      </c>
      <c r="P10" s="1"/>
      <c r="Q10" s="1"/>
    </row>
    <row r="11" spans="1:17" ht="12.75" x14ac:dyDescent="0.2">
      <c r="A11" s="5">
        <v>7</v>
      </c>
      <c r="B11" s="19">
        <v>5299</v>
      </c>
      <c r="C11" s="19">
        <v>4100</v>
      </c>
      <c r="D11" s="11"/>
      <c r="E11" s="5">
        <v>7</v>
      </c>
      <c r="F11" s="19">
        <v>35050</v>
      </c>
      <c r="G11" s="19">
        <v>24440</v>
      </c>
      <c r="H11" s="11"/>
      <c r="I11" s="5">
        <v>7</v>
      </c>
      <c r="J11" s="19">
        <v>20000</v>
      </c>
      <c r="K11" s="19">
        <v>0</v>
      </c>
      <c r="L11" s="11" t="s">
        <v>163</v>
      </c>
      <c r="M11" s="19" t="s">
        <v>128</v>
      </c>
      <c r="N11" s="20">
        <v>13900</v>
      </c>
      <c r="O11" s="40">
        <v>5000</v>
      </c>
      <c r="P11" s="1"/>
      <c r="Q11" s="1"/>
    </row>
    <row r="12" spans="1:17" ht="12.75" x14ac:dyDescent="0.2">
      <c r="A12" s="5">
        <v>8</v>
      </c>
      <c r="B12" s="19">
        <v>10564</v>
      </c>
      <c r="C12" s="19">
        <v>7476</v>
      </c>
      <c r="D12" s="11"/>
      <c r="E12" s="5">
        <v>8</v>
      </c>
      <c r="F12" s="19">
        <v>35104</v>
      </c>
      <c r="G12" s="19">
        <v>22664</v>
      </c>
      <c r="H12" s="11"/>
      <c r="I12" s="5">
        <v>8</v>
      </c>
      <c r="J12" s="19">
        <v>1800</v>
      </c>
      <c r="K12" s="19">
        <v>0</v>
      </c>
      <c r="L12" s="11"/>
      <c r="M12" s="19" t="s">
        <v>74</v>
      </c>
      <c r="N12" s="20">
        <v>14000</v>
      </c>
      <c r="O12" s="11">
        <v>4000</v>
      </c>
      <c r="P12" s="1"/>
      <c r="Q12" s="1"/>
    </row>
    <row r="13" spans="1:17" ht="12.75" x14ac:dyDescent="0.2">
      <c r="A13" s="5">
        <v>9</v>
      </c>
      <c r="B13" s="19">
        <v>8383</v>
      </c>
      <c r="C13" s="19">
        <v>2330</v>
      </c>
      <c r="D13" s="11"/>
      <c r="E13" s="5">
        <v>9</v>
      </c>
      <c r="F13" s="19">
        <v>64291</v>
      </c>
      <c r="G13" s="19">
        <v>18148</v>
      </c>
      <c r="H13" s="11"/>
      <c r="I13" s="5">
        <v>9</v>
      </c>
      <c r="J13" s="19">
        <v>18000</v>
      </c>
      <c r="K13" s="19">
        <v>0</v>
      </c>
      <c r="L13" s="11"/>
      <c r="M13" s="19" t="s">
        <v>87</v>
      </c>
      <c r="N13" s="19">
        <v>13250</v>
      </c>
      <c r="O13" s="11">
        <v>4000</v>
      </c>
      <c r="P13" s="1"/>
      <c r="Q13" s="1"/>
    </row>
    <row r="14" spans="1:17" ht="12.75" x14ac:dyDescent="0.2">
      <c r="A14" s="5">
        <v>10</v>
      </c>
      <c r="B14" s="19">
        <v>11986</v>
      </c>
      <c r="C14" s="19">
        <v>10185</v>
      </c>
      <c r="D14" s="11"/>
      <c r="E14" s="5">
        <v>10</v>
      </c>
      <c r="F14" s="19">
        <v>46466</v>
      </c>
      <c r="G14" s="19">
        <v>25598</v>
      </c>
      <c r="H14" s="11"/>
      <c r="I14" s="5">
        <v>10</v>
      </c>
      <c r="J14" s="19">
        <v>5100</v>
      </c>
      <c r="K14" s="19">
        <v>0</v>
      </c>
      <c r="L14" s="1"/>
      <c r="M14" s="19" t="s">
        <v>134</v>
      </c>
      <c r="N14" s="19">
        <v>17000</v>
      </c>
      <c r="O14" s="11">
        <v>6000</v>
      </c>
      <c r="P14" s="1"/>
      <c r="Q14" s="1"/>
    </row>
    <row r="15" spans="1:17" ht="12.75" x14ac:dyDescent="0.2">
      <c r="A15" s="5">
        <v>11</v>
      </c>
      <c r="B15" s="19">
        <v>10940</v>
      </c>
      <c r="C15" s="19">
        <v>9500</v>
      </c>
      <c r="D15" s="11"/>
      <c r="E15" s="5">
        <v>11</v>
      </c>
      <c r="F15" s="19">
        <v>56206</v>
      </c>
      <c r="G15" s="19">
        <v>15754</v>
      </c>
      <c r="H15" s="11"/>
      <c r="I15" s="5">
        <v>11</v>
      </c>
      <c r="J15" s="19">
        <v>3000</v>
      </c>
      <c r="K15" s="19">
        <v>0</v>
      </c>
      <c r="L15" s="1"/>
      <c r="M15" s="12" t="s">
        <v>79</v>
      </c>
      <c r="N15" s="13">
        <f>SUM(N4:N14)</f>
        <v>162350</v>
      </c>
      <c r="O15" s="1"/>
      <c r="P15" s="1"/>
      <c r="Q15" s="1"/>
    </row>
    <row r="16" spans="1:17" ht="12.75" x14ac:dyDescent="0.2">
      <c r="A16" s="5">
        <v>12</v>
      </c>
      <c r="B16" s="19">
        <v>16215</v>
      </c>
      <c r="C16" s="19">
        <v>11650</v>
      </c>
      <c r="D16" s="11"/>
      <c r="E16" s="5">
        <v>12</v>
      </c>
      <c r="F16" s="19">
        <v>52392</v>
      </c>
      <c r="G16" s="19">
        <v>17577</v>
      </c>
      <c r="H16" s="11"/>
      <c r="I16" s="5">
        <v>12</v>
      </c>
      <c r="J16" s="19">
        <v>6300</v>
      </c>
      <c r="K16" s="19">
        <v>0</v>
      </c>
      <c r="L16" s="1"/>
      <c r="M16" s="25"/>
      <c r="N16" s="6"/>
      <c r="O16" s="1"/>
      <c r="P16" s="1"/>
      <c r="Q16" s="1"/>
    </row>
    <row r="17" spans="1:19" ht="12.75" x14ac:dyDescent="0.2">
      <c r="A17" s="5">
        <v>13</v>
      </c>
      <c r="B17" s="19">
        <v>0</v>
      </c>
      <c r="C17" s="19">
        <v>0</v>
      </c>
      <c r="D17" s="11"/>
      <c r="E17" s="5">
        <v>13</v>
      </c>
      <c r="F17" s="19">
        <v>30520</v>
      </c>
      <c r="G17" s="19">
        <v>36357</v>
      </c>
      <c r="H17" s="11"/>
      <c r="I17" s="5">
        <v>13</v>
      </c>
      <c r="J17" s="19">
        <v>31200</v>
      </c>
      <c r="K17" s="19">
        <v>0</v>
      </c>
      <c r="L17" s="1"/>
      <c r="M17" s="78" t="s">
        <v>37</v>
      </c>
      <c r="N17" s="79"/>
      <c r="O17" s="1"/>
      <c r="P17" s="80" t="s">
        <v>38</v>
      </c>
      <c r="Q17" s="79"/>
    </row>
    <row r="18" spans="1:19" ht="12.75" x14ac:dyDescent="0.2">
      <c r="A18" s="5">
        <v>14</v>
      </c>
      <c r="B18" s="19">
        <v>8539</v>
      </c>
      <c r="C18" s="19">
        <v>7921</v>
      </c>
      <c r="D18" s="11"/>
      <c r="E18" s="5">
        <v>14</v>
      </c>
      <c r="F18" s="19">
        <v>44528</v>
      </c>
      <c r="G18" s="19">
        <v>17237</v>
      </c>
      <c r="H18" s="11"/>
      <c r="I18" s="5">
        <v>14</v>
      </c>
      <c r="J18" s="19">
        <v>1800</v>
      </c>
      <c r="K18" s="19">
        <v>0</v>
      </c>
      <c r="L18" s="1"/>
      <c r="M18" s="2" t="s">
        <v>39</v>
      </c>
      <c r="N18" s="3" t="s">
        <v>6</v>
      </c>
      <c r="O18" s="1"/>
      <c r="P18" s="2" t="s">
        <v>5</v>
      </c>
      <c r="Q18" s="3" t="s">
        <v>6</v>
      </c>
    </row>
    <row r="19" spans="1:19" ht="12.75" x14ac:dyDescent="0.2">
      <c r="A19" s="5">
        <v>15</v>
      </c>
      <c r="B19" s="19">
        <v>12147</v>
      </c>
      <c r="C19" s="19">
        <v>10685</v>
      </c>
      <c r="D19" s="11"/>
      <c r="E19" s="5">
        <v>15</v>
      </c>
      <c r="F19" s="19">
        <v>30649</v>
      </c>
      <c r="G19" s="19">
        <v>25266</v>
      </c>
      <c r="H19" s="11"/>
      <c r="I19" s="5">
        <v>15</v>
      </c>
      <c r="J19" s="19">
        <v>33560</v>
      </c>
      <c r="K19" s="19">
        <v>0</v>
      </c>
      <c r="L19" s="1"/>
      <c r="M19" s="4" t="s">
        <v>41</v>
      </c>
      <c r="N19" s="20">
        <v>100000</v>
      </c>
      <c r="O19" s="1"/>
      <c r="P19" s="4" t="s">
        <v>42</v>
      </c>
      <c r="Q19" s="5">
        <f>B35+F35+J35</f>
        <v>2126731</v>
      </c>
    </row>
    <row r="20" spans="1:19" ht="12.75" x14ac:dyDescent="0.2">
      <c r="A20" s="5">
        <v>16</v>
      </c>
      <c r="B20" s="19">
        <v>13360</v>
      </c>
      <c r="C20" s="19">
        <v>10333</v>
      </c>
      <c r="D20" s="11"/>
      <c r="E20" s="5">
        <v>16</v>
      </c>
      <c r="F20" s="19">
        <v>49834</v>
      </c>
      <c r="G20" s="19">
        <v>24522</v>
      </c>
      <c r="H20" s="11"/>
      <c r="I20" s="5">
        <v>16</v>
      </c>
      <c r="J20" s="19">
        <v>4100</v>
      </c>
      <c r="K20" s="19">
        <v>0</v>
      </c>
      <c r="L20" s="11"/>
      <c r="M20" s="4" t="s">
        <v>43</v>
      </c>
      <c r="N20" s="19">
        <v>64530</v>
      </c>
      <c r="O20" s="1"/>
      <c r="P20" s="4" t="s">
        <v>44</v>
      </c>
      <c r="Q20" s="5">
        <f>C35+G35+K35+N15+N30+N55</f>
        <v>1318572</v>
      </c>
    </row>
    <row r="21" spans="1:19" ht="12.75" x14ac:dyDescent="0.2">
      <c r="A21" s="5">
        <v>17</v>
      </c>
      <c r="B21" s="19">
        <v>14841</v>
      </c>
      <c r="C21" s="19">
        <v>13464</v>
      </c>
      <c r="D21" s="11"/>
      <c r="E21" s="5">
        <v>17</v>
      </c>
      <c r="F21" s="19">
        <v>80806</v>
      </c>
      <c r="G21" s="19">
        <v>6313</v>
      </c>
      <c r="H21" s="11"/>
      <c r="I21" s="5">
        <v>17</v>
      </c>
      <c r="J21" s="19">
        <v>2000</v>
      </c>
      <c r="K21" s="19">
        <v>0</v>
      </c>
      <c r="L21" s="1"/>
      <c r="M21" s="4" t="s">
        <v>46</v>
      </c>
      <c r="N21" s="20">
        <v>3000</v>
      </c>
      <c r="O21" s="1"/>
      <c r="P21" s="26" t="s">
        <v>47</v>
      </c>
      <c r="Q21" s="27">
        <f>Q19-Q20</f>
        <v>808159</v>
      </c>
      <c r="S21" s="42">
        <f>Q21/Q19</f>
        <v>0.38000057365035822</v>
      </c>
    </row>
    <row r="22" spans="1:19" ht="12.75" x14ac:dyDescent="0.2">
      <c r="A22" s="5">
        <v>18</v>
      </c>
      <c r="B22" s="19">
        <v>19128</v>
      </c>
      <c r="C22" s="19">
        <v>17245</v>
      </c>
      <c r="D22" s="11"/>
      <c r="E22" s="5">
        <v>18</v>
      </c>
      <c r="F22" s="19">
        <v>53901</v>
      </c>
      <c r="G22" s="19">
        <v>29349</v>
      </c>
      <c r="H22" s="11"/>
      <c r="I22" s="5">
        <v>18</v>
      </c>
      <c r="J22" s="19">
        <v>2500</v>
      </c>
      <c r="K22" s="19">
        <v>0</v>
      </c>
      <c r="L22" s="1"/>
      <c r="M22" s="19"/>
      <c r="N22" s="19"/>
      <c r="O22" s="1"/>
      <c r="P22" s="4" t="s">
        <v>49</v>
      </c>
      <c r="Q22" s="20">
        <v>35000</v>
      </c>
    </row>
    <row r="23" spans="1:19" ht="12.75" x14ac:dyDescent="0.2">
      <c r="A23" s="5">
        <v>19</v>
      </c>
      <c r="B23" s="20">
        <v>8195</v>
      </c>
      <c r="C23" s="67">
        <v>7397</v>
      </c>
      <c r="D23" s="11"/>
      <c r="E23" s="5">
        <v>19</v>
      </c>
      <c r="F23" s="19">
        <v>70234</v>
      </c>
      <c r="G23" s="19">
        <v>28454</v>
      </c>
      <c r="H23" s="11"/>
      <c r="I23" s="5">
        <v>19</v>
      </c>
      <c r="J23" s="19">
        <v>19400</v>
      </c>
      <c r="K23" s="19">
        <v>0</v>
      </c>
      <c r="L23" s="1"/>
      <c r="M23" s="4" t="s">
        <v>50</v>
      </c>
      <c r="N23" s="20">
        <v>2490</v>
      </c>
      <c r="O23" s="1"/>
      <c r="P23" s="11" t="s">
        <v>133</v>
      </c>
      <c r="Q23" s="1">
        <f>C35+G35+K35</f>
        <v>847912</v>
      </c>
    </row>
    <row r="24" spans="1:19" ht="12.75" x14ac:dyDescent="0.2">
      <c r="A24" s="5">
        <v>20</v>
      </c>
      <c r="B24" s="19">
        <v>0</v>
      </c>
      <c r="C24" s="19">
        <v>0</v>
      </c>
      <c r="D24" s="11"/>
      <c r="E24" s="5">
        <v>20</v>
      </c>
      <c r="F24" s="19">
        <v>46809</v>
      </c>
      <c r="G24" s="19">
        <v>32121</v>
      </c>
      <c r="H24" s="11"/>
      <c r="I24" s="5">
        <v>20</v>
      </c>
      <c r="J24" s="19">
        <v>6600</v>
      </c>
      <c r="K24" s="19">
        <v>0</v>
      </c>
      <c r="L24" s="1"/>
      <c r="M24" s="4" t="s">
        <v>51</v>
      </c>
      <c r="N24" s="20">
        <v>5000</v>
      </c>
      <c r="O24" s="1"/>
      <c r="P24" s="1"/>
      <c r="Q24" s="1"/>
    </row>
    <row r="25" spans="1:19" ht="12.75" x14ac:dyDescent="0.2">
      <c r="A25" s="5">
        <v>21</v>
      </c>
      <c r="B25" s="19">
        <v>24350</v>
      </c>
      <c r="C25" s="19">
        <v>20870</v>
      </c>
      <c r="D25" s="11"/>
      <c r="E25" s="5">
        <v>21</v>
      </c>
      <c r="F25" s="19">
        <v>51096</v>
      </c>
      <c r="G25" s="19">
        <v>13968</v>
      </c>
      <c r="H25" s="11"/>
      <c r="I25" s="5">
        <v>21</v>
      </c>
      <c r="J25" s="19">
        <v>10700</v>
      </c>
      <c r="K25" s="19">
        <v>0</v>
      </c>
      <c r="L25" s="11"/>
      <c r="M25" s="70" t="s">
        <v>164</v>
      </c>
      <c r="N25" s="19">
        <v>35390</v>
      </c>
      <c r="O25" s="1"/>
      <c r="P25" s="1"/>
      <c r="Q25" s="1"/>
    </row>
    <row r="26" spans="1:19" ht="12.75" x14ac:dyDescent="0.2">
      <c r="A26" s="5">
        <v>22</v>
      </c>
      <c r="B26" s="19">
        <v>15150</v>
      </c>
      <c r="C26" s="19">
        <v>14350</v>
      </c>
      <c r="D26" s="11"/>
      <c r="E26" s="5">
        <v>22</v>
      </c>
      <c r="F26" s="19">
        <v>53926</v>
      </c>
      <c r="G26" s="19">
        <v>23576</v>
      </c>
      <c r="H26" s="11"/>
      <c r="I26" s="5">
        <v>22</v>
      </c>
      <c r="J26" s="19">
        <v>4600</v>
      </c>
      <c r="K26" s="19">
        <v>0</v>
      </c>
      <c r="L26" s="1"/>
      <c r="M26" s="19"/>
      <c r="N26" s="19"/>
      <c r="O26" s="1"/>
      <c r="P26" s="1"/>
      <c r="Q26" s="1"/>
    </row>
    <row r="27" spans="1:19" ht="15.75" customHeight="1" x14ac:dyDescent="0.4">
      <c r="A27" s="5">
        <v>23</v>
      </c>
      <c r="B27" s="19">
        <v>8600</v>
      </c>
      <c r="C27" s="19">
        <v>3206</v>
      </c>
      <c r="D27" s="11"/>
      <c r="E27" s="5">
        <v>23</v>
      </c>
      <c r="F27" s="19">
        <v>45565</v>
      </c>
      <c r="G27" s="19">
        <v>17843</v>
      </c>
      <c r="H27" s="11"/>
      <c r="I27" s="5">
        <v>23</v>
      </c>
      <c r="J27" s="19">
        <v>8800</v>
      </c>
      <c r="K27" s="19">
        <v>0</v>
      </c>
      <c r="L27" s="1"/>
      <c r="M27" s="19"/>
      <c r="N27" s="19"/>
      <c r="O27" s="1"/>
      <c r="P27" s="19" t="s">
        <v>139</v>
      </c>
      <c r="Q27" s="63">
        <f>(N15+N55)-Z17</f>
        <v>260250</v>
      </c>
    </row>
    <row r="28" spans="1:19" ht="15.75" customHeight="1" x14ac:dyDescent="0.4">
      <c r="A28" s="5">
        <v>24</v>
      </c>
      <c r="B28" s="19">
        <v>11383</v>
      </c>
      <c r="C28" s="19">
        <v>10088</v>
      </c>
      <c r="D28" s="11"/>
      <c r="E28" s="5">
        <v>24</v>
      </c>
      <c r="F28" s="19">
        <v>45506</v>
      </c>
      <c r="G28" s="19">
        <v>56727</v>
      </c>
      <c r="H28" s="11"/>
      <c r="I28" s="5">
        <v>24</v>
      </c>
      <c r="J28" s="19">
        <v>69900</v>
      </c>
      <c r="K28" s="19">
        <v>0</v>
      </c>
      <c r="L28" s="1"/>
      <c r="M28" s="4"/>
      <c r="N28" s="4"/>
      <c r="O28" s="1"/>
      <c r="P28" s="19" t="s">
        <v>140</v>
      </c>
      <c r="Q28" s="64">
        <f>O45</f>
        <v>90000</v>
      </c>
    </row>
    <row r="29" spans="1:19" ht="12.75" x14ac:dyDescent="0.2">
      <c r="A29" s="5">
        <v>25</v>
      </c>
      <c r="B29" s="19">
        <v>7546</v>
      </c>
      <c r="C29" s="19">
        <v>4904</v>
      </c>
      <c r="D29" s="11"/>
      <c r="E29" s="5">
        <v>25</v>
      </c>
      <c r="F29" s="19">
        <v>59155</v>
      </c>
      <c r="G29" s="19">
        <v>20390</v>
      </c>
      <c r="H29" s="11"/>
      <c r="I29" s="5">
        <v>25</v>
      </c>
      <c r="J29" s="19">
        <v>23800</v>
      </c>
      <c r="K29" s="19">
        <v>0</v>
      </c>
      <c r="L29" s="1"/>
      <c r="M29" s="4"/>
      <c r="N29" s="4"/>
      <c r="O29" s="1"/>
      <c r="P29" s="19" t="s">
        <v>141</v>
      </c>
      <c r="Q29" s="4">
        <f>Q27-Q28</f>
        <v>170250</v>
      </c>
    </row>
    <row r="30" spans="1:19" ht="12.75" x14ac:dyDescent="0.2">
      <c r="A30" s="5">
        <v>26</v>
      </c>
      <c r="B30" s="19">
        <v>14676</v>
      </c>
      <c r="C30" s="19">
        <v>11016</v>
      </c>
      <c r="D30" s="11"/>
      <c r="E30" s="5">
        <v>26</v>
      </c>
      <c r="F30" s="19">
        <v>70132</v>
      </c>
      <c r="G30" s="19">
        <v>19416</v>
      </c>
      <c r="H30" s="11"/>
      <c r="I30" s="5">
        <v>26</v>
      </c>
      <c r="J30" s="19">
        <v>13300</v>
      </c>
      <c r="K30" s="19">
        <v>0</v>
      </c>
      <c r="L30" s="1"/>
      <c r="M30" s="12" t="s">
        <v>36</v>
      </c>
      <c r="N30" s="13">
        <f>SUM(N19:N29)</f>
        <v>210410</v>
      </c>
      <c r="O30" s="1"/>
      <c r="P30" s="1"/>
      <c r="Q30" s="11"/>
    </row>
    <row r="31" spans="1:19" ht="12.75" x14ac:dyDescent="0.2">
      <c r="A31" s="5">
        <v>27</v>
      </c>
      <c r="B31" s="19">
        <v>0</v>
      </c>
      <c r="C31" s="19">
        <v>0</v>
      </c>
      <c r="D31" s="11"/>
      <c r="E31" s="5">
        <v>27</v>
      </c>
      <c r="F31" s="19">
        <v>23357</v>
      </c>
      <c r="G31" s="19">
        <v>21596</v>
      </c>
      <c r="H31" s="11"/>
      <c r="I31" s="5">
        <v>27</v>
      </c>
      <c r="J31" s="19">
        <v>1400</v>
      </c>
      <c r="K31" s="19">
        <v>0</v>
      </c>
      <c r="L31" s="1"/>
      <c r="M31" s="1"/>
      <c r="N31" s="1"/>
      <c r="O31" s="1"/>
      <c r="P31" s="1"/>
      <c r="Q31" s="1"/>
    </row>
    <row r="32" spans="1:19" ht="12.75" x14ac:dyDescent="0.2">
      <c r="A32" s="5">
        <v>28</v>
      </c>
      <c r="B32" s="19">
        <v>8490</v>
      </c>
      <c r="C32" s="19">
        <v>5128</v>
      </c>
      <c r="D32" s="11"/>
      <c r="E32" s="5">
        <v>28</v>
      </c>
      <c r="F32" s="19">
        <v>40691</v>
      </c>
      <c r="G32" s="19">
        <v>22805</v>
      </c>
      <c r="H32" s="1"/>
      <c r="I32" s="5">
        <v>28</v>
      </c>
      <c r="J32" s="19">
        <v>14200</v>
      </c>
      <c r="K32" s="19">
        <v>0</v>
      </c>
      <c r="L32" s="1"/>
      <c r="M32" s="81" t="s">
        <v>53</v>
      </c>
      <c r="N32" s="79"/>
      <c r="O32" s="1"/>
      <c r="P32" s="1"/>
      <c r="Q32" s="1"/>
    </row>
    <row r="33" spans="1:17" ht="12.75" x14ac:dyDescent="0.2">
      <c r="A33" s="5">
        <v>29</v>
      </c>
      <c r="B33" s="19"/>
      <c r="C33" s="19"/>
      <c r="D33" s="11"/>
      <c r="E33" s="5">
        <v>29</v>
      </c>
      <c r="F33" s="19"/>
      <c r="G33" s="19"/>
      <c r="H33" s="1"/>
      <c r="I33" s="5">
        <v>29</v>
      </c>
      <c r="J33" s="19"/>
      <c r="K33" s="19"/>
      <c r="L33" s="1"/>
      <c r="M33" s="2" t="s">
        <v>39</v>
      </c>
      <c r="N33" s="3" t="s">
        <v>6</v>
      </c>
      <c r="O33" s="1"/>
      <c r="P33" s="1"/>
      <c r="Q33" s="1"/>
    </row>
    <row r="34" spans="1:17" ht="12.75" x14ac:dyDescent="0.2">
      <c r="A34" s="5">
        <v>30</v>
      </c>
      <c r="B34" s="19"/>
      <c r="C34" s="19"/>
      <c r="D34" s="11"/>
      <c r="E34" s="5">
        <v>30</v>
      </c>
      <c r="F34" s="19"/>
      <c r="G34" s="19"/>
      <c r="H34" s="1"/>
      <c r="I34" s="5">
        <v>30</v>
      </c>
      <c r="J34" s="19"/>
      <c r="K34" s="19"/>
      <c r="L34" s="1"/>
      <c r="M34" s="19"/>
      <c r="N34" s="19"/>
      <c r="O34" s="11"/>
      <c r="P34" s="1"/>
      <c r="Q34" s="1"/>
    </row>
    <row r="35" spans="1:17" ht="12.75" x14ac:dyDescent="0.2">
      <c r="A35" s="12" t="s">
        <v>36</v>
      </c>
      <c r="B35" s="13">
        <f t="shared" ref="B35:C35" si="0">SUM(B5:B34)+B37</f>
        <v>277485</v>
      </c>
      <c r="C35" s="13">
        <f t="shared" si="0"/>
        <v>219422</v>
      </c>
      <c r="D35" s="1"/>
      <c r="E35" s="12" t="s">
        <v>36</v>
      </c>
      <c r="F35" s="13">
        <f t="shared" ref="F35:G35" si="1">SUM(F5:F34)+F37</f>
        <v>1382686</v>
      </c>
      <c r="G35" s="13">
        <f t="shared" si="1"/>
        <v>628490</v>
      </c>
      <c r="H35" s="1"/>
      <c r="I35" s="12" t="s">
        <v>36</v>
      </c>
      <c r="J35" s="13">
        <f t="shared" ref="J35:K35" si="2">SUM(J5:J34)+J37</f>
        <v>466560</v>
      </c>
      <c r="K35" s="13">
        <f t="shared" si="2"/>
        <v>0</v>
      </c>
      <c r="L35" s="11" t="s">
        <v>165</v>
      </c>
      <c r="M35" s="19" t="s">
        <v>102</v>
      </c>
      <c r="N35" s="19">
        <v>15300</v>
      </c>
      <c r="O35" s="11">
        <v>6000</v>
      </c>
      <c r="P35" s="1"/>
      <c r="Q35" s="1"/>
    </row>
    <row r="36" spans="1:17" ht="12.75" x14ac:dyDescent="0.2">
      <c r="A36" s="3" t="s">
        <v>56</v>
      </c>
      <c r="B36" s="82">
        <f>B35-C35</f>
        <v>58063</v>
      </c>
      <c r="C36" s="79"/>
      <c r="D36" s="1"/>
      <c r="E36" s="3" t="s">
        <v>56</v>
      </c>
      <c r="F36" s="82">
        <f>F35-G35</f>
        <v>754196</v>
      </c>
      <c r="G36" s="79"/>
      <c r="H36" s="1"/>
      <c r="I36" s="3" t="s">
        <v>56</v>
      </c>
      <c r="J36" s="82">
        <f>J35-K35</f>
        <v>466560</v>
      </c>
      <c r="K36" s="79"/>
      <c r="M36" s="19" t="s">
        <v>112</v>
      </c>
      <c r="N36" s="19">
        <v>11300</v>
      </c>
      <c r="O36" s="11">
        <v>4000</v>
      </c>
      <c r="P36" s="1"/>
      <c r="Q36" s="1"/>
    </row>
    <row r="37" spans="1:17" ht="12.75" x14ac:dyDescent="0.2">
      <c r="A37" s="5">
        <v>31</v>
      </c>
      <c r="B37" s="19"/>
      <c r="C37" s="19"/>
      <c r="D37" s="11"/>
      <c r="E37" s="5">
        <v>31</v>
      </c>
      <c r="F37" s="19"/>
      <c r="G37" s="19"/>
      <c r="H37" s="1"/>
      <c r="I37" s="5">
        <v>31</v>
      </c>
      <c r="J37" s="19"/>
      <c r="K37" s="19"/>
      <c r="L37" s="60"/>
      <c r="M37" s="19" t="s">
        <v>142</v>
      </c>
      <c r="N37" s="19">
        <v>14000</v>
      </c>
      <c r="O37" s="11">
        <v>5000</v>
      </c>
      <c r="P37" s="1"/>
      <c r="Q37" s="1"/>
    </row>
    <row r="38" spans="1:17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4" t="s">
        <v>144</v>
      </c>
      <c r="N38" s="54">
        <v>11000</v>
      </c>
      <c r="O38" s="11">
        <v>4000</v>
      </c>
      <c r="P38" s="1">
        <f>C47-C48-Z17-N26-N27</f>
        <v>1278819</v>
      </c>
      <c r="Q38" s="1"/>
    </row>
    <row r="39" spans="1:17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1"/>
      <c r="M39" s="19"/>
      <c r="N39" s="19"/>
      <c r="O39" s="11"/>
      <c r="P39" s="1"/>
      <c r="Q39" s="1"/>
    </row>
    <row r="40" spans="1:1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1"/>
      <c r="M40" s="19" t="s">
        <v>149</v>
      </c>
      <c r="N40" s="19">
        <v>11000</v>
      </c>
      <c r="O40" s="11">
        <v>4000</v>
      </c>
      <c r="P40" s="1"/>
      <c r="Q40" s="1"/>
    </row>
    <row r="41" spans="1:17" ht="12.75" x14ac:dyDescent="0.2">
      <c r="A41" s="1"/>
      <c r="B41" s="1"/>
      <c r="C41" s="1"/>
      <c r="D41" s="1"/>
      <c r="E41" s="1"/>
      <c r="F41" s="1"/>
      <c r="G41" s="83" t="s">
        <v>130</v>
      </c>
      <c r="H41" s="79"/>
      <c r="I41" s="1"/>
      <c r="J41" s="1"/>
      <c r="K41" s="1"/>
      <c r="L41" s="1"/>
      <c r="M41" s="19" t="s">
        <v>150</v>
      </c>
      <c r="N41" s="19">
        <v>12100</v>
      </c>
      <c r="O41" s="11">
        <v>4000</v>
      </c>
      <c r="P41" s="1"/>
      <c r="Q41" s="1"/>
    </row>
    <row r="42" spans="1:17" ht="12.75" x14ac:dyDescent="0.2">
      <c r="A42" s="1"/>
      <c r="B42" s="1"/>
      <c r="C42" s="1"/>
      <c r="D42" s="1"/>
      <c r="E42" s="1"/>
      <c r="F42" s="1"/>
      <c r="G42" s="19" t="s">
        <v>106</v>
      </c>
      <c r="H42" s="19" t="s">
        <v>131</v>
      </c>
      <c r="I42" s="1"/>
      <c r="J42" s="1"/>
      <c r="K42" s="1"/>
      <c r="L42" s="11"/>
      <c r="M42" s="19"/>
      <c r="N42" s="19"/>
      <c r="O42" s="1"/>
      <c r="P42" s="1"/>
      <c r="Q42" s="1"/>
    </row>
    <row r="43" spans="1:17" ht="12.75" x14ac:dyDescent="0.2">
      <c r="A43" s="1"/>
      <c r="B43" s="1"/>
      <c r="C43" s="1"/>
      <c r="D43" s="1"/>
      <c r="E43" s="1"/>
      <c r="F43" s="1"/>
      <c r="G43" s="62"/>
      <c r="H43" s="19"/>
      <c r="I43" s="1"/>
      <c r="J43" s="1"/>
      <c r="K43" s="1"/>
      <c r="L43" s="1"/>
      <c r="M43" s="19" t="s">
        <v>157</v>
      </c>
      <c r="N43" s="19">
        <v>12200</v>
      </c>
      <c r="O43" s="11">
        <v>4000</v>
      </c>
      <c r="P43" s="1"/>
      <c r="Q43" s="1"/>
    </row>
    <row r="44" spans="1:17" ht="12.75" x14ac:dyDescent="0.2">
      <c r="A44" s="1"/>
      <c r="B44" s="1"/>
      <c r="C44" s="1"/>
      <c r="D44" s="1"/>
      <c r="E44" s="1"/>
      <c r="F44" s="1"/>
      <c r="G44" s="62"/>
      <c r="H44" s="19"/>
      <c r="I44" s="1"/>
      <c r="J44" s="1"/>
      <c r="K44" s="1"/>
      <c r="L44" s="1"/>
      <c r="M44" s="19" t="s">
        <v>162</v>
      </c>
      <c r="N44" s="19">
        <v>11000</v>
      </c>
      <c r="O44" s="11">
        <v>4000</v>
      </c>
      <c r="P44" s="1"/>
      <c r="Q44" s="1"/>
    </row>
    <row r="45" spans="1:17" ht="12.75" x14ac:dyDescent="0.2">
      <c r="A45" s="1"/>
      <c r="B45" s="1"/>
      <c r="C45" s="1"/>
      <c r="D45" s="1"/>
      <c r="E45" s="1"/>
      <c r="F45" s="1"/>
      <c r="G45" s="62"/>
      <c r="H45" s="19"/>
      <c r="I45" s="1"/>
      <c r="J45" s="1"/>
      <c r="K45" s="1"/>
      <c r="L45" s="1"/>
      <c r="M45" s="4"/>
      <c r="N45" s="4"/>
      <c r="O45" s="1">
        <f>SUM(O4:O44)</f>
        <v>90000</v>
      </c>
      <c r="P45" s="1"/>
      <c r="Q45" s="1"/>
    </row>
    <row r="46" spans="1:17" ht="12.75" x14ac:dyDescent="0.2">
      <c r="A46" s="1"/>
      <c r="B46" s="1"/>
      <c r="C46" s="1"/>
      <c r="D46" s="1"/>
      <c r="E46" s="1"/>
      <c r="F46" s="1"/>
      <c r="G46" s="62"/>
      <c r="H46" s="19"/>
      <c r="I46" s="1"/>
      <c r="J46" s="1"/>
      <c r="K46" s="1"/>
      <c r="L46" s="1"/>
      <c r="M46" s="4"/>
      <c r="N46" s="4"/>
      <c r="O46" s="1"/>
      <c r="P46" s="1"/>
      <c r="Q46" s="1"/>
    </row>
    <row r="47" spans="1:17" ht="12.75" x14ac:dyDescent="0.2">
      <c r="A47" s="1"/>
      <c r="B47" s="1"/>
      <c r="C47" s="1">
        <f>(B35+F35+J35)</f>
        <v>2126731</v>
      </c>
      <c r="D47" s="1"/>
      <c r="E47" s="1"/>
      <c r="F47" s="1"/>
      <c r="G47" s="62"/>
      <c r="H47" s="19"/>
      <c r="I47" s="1"/>
      <c r="J47" s="1"/>
      <c r="K47" s="1"/>
      <c r="L47" s="1"/>
      <c r="M47" s="4"/>
      <c r="N47" s="4"/>
      <c r="O47" s="1"/>
      <c r="P47" s="1"/>
      <c r="Q47" s="1"/>
    </row>
    <row r="48" spans="1:17" ht="12.75" x14ac:dyDescent="0.2">
      <c r="A48" s="1"/>
      <c r="B48" s="1"/>
      <c r="C48" s="42">
        <f>C35+G35</f>
        <v>847912</v>
      </c>
      <c r="D48" s="1"/>
      <c r="E48" s="1"/>
      <c r="F48" s="1"/>
      <c r="G48" s="62"/>
      <c r="H48" s="19"/>
      <c r="I48" s="1"/>
      <c r="J48" s="1"/>
      <c r="K48" s="1"/>
      <c r="L48" s="1"/>
      <c r="M48" s="4"/>
      <c r="N48" s="4"/>
      <c r="O48" s="1"/>
      <c r="P48" s="11">
        <v>105100</v>
      </c>
      <c r="Q48" s="1"/>
    </row>
    <row r="49" spans="1:17" ht="12.75" x14ac:dyDescent="0.2">
      <c r="A49" s="1"/>
      <c r="B49" s="1"/>
      <c r="C49" s="1">
        <f>C48/C47</f>
        <v>0.39869264142949906</v>
      </c>
      <c r="D49" s="1"/>
      <c r="E49" s="1"/>
      <c r="F49" s="1"/>
      <c r="G49" s="62"/>
      <c r="H49" s="19"/>
      <c r="I49" s="1"/>
      <c r="J49" s="1"/>
      <c r="K49" s="1"/>
      <c r="L49" s="1"/>
      <c r="M49" s="4"/>
      <c r="N49" s="4"/>
      <c r="O49" s="1"/>
      <c r="P49" s="1"/>
      <c r="Q49" s="1"/>
    </row>
    <row r="50" spans="1:17" ht="12.75" x14ac:dyDescent="0.2">
      <c r="A50" s="1"/>
      <c r="B50" s="1"/>
      <c r="C50" s="1"/>
      <c r="D50" s="1"/>
      <c r="E50" s="1"/>
      <c r="F50" s="1"/>
      <c r="G50" s="21"/>
      <c r="H50" s="19"/>
      <c r="I50" s="1"/>
      <c r="J50" s="1"/>
      <c r="K50" s="1"/>
      <c r="L50" s="1"/>
      <c r="M50" s="4"/>
      <c r="N50" s="4"/>
      <c r="O50" s="1"/>
      <c r="P50" s="1"/>
      <c r="Q50" s="1"/>
    </row>
    <row r="51" spans="1:17" ht="12.75" x14ac:dyDescent="0.2">
      <c r="A51" s="1"/>
      <c r="B51" s="1"/>
      <c r="C51" s="1"/>
      <c r="D51" s="1"/>
      <c r="E51" s="1"/>
      <c r="F51" s="1"/>
      <c r="G51" s="4"/>
      <c r="H51" s="4"/>
      <c r="I51" s="1"/>
      <c r="J51" s="1"/>
      <c r="K51" s="1"/>
      <c r="L51" s="1"/>
      <c r="M51" s="4"/>
      <c r="N51" s="4"/>
      <c r="O51" s="1"/>
      <c r="P51" s="1"/>
      <c r="Q51" s="1"/>
    </row>
    <row r="52" spans="1:1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4"/>
      <c r="O52" s="1"/>
      <c r="P52" s="1"/>
      <c r="Q52" s="1"/>
    </row>
    <row r="53" spans="1:1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4"/>
      <c r="O53" s="1"/>
      <c r="P53" s="1"/>
      <c r="Q53" s="1"/>
    </row>
    <row r="54" spans="1:1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4"/>
      <c r="O54" s="1"/>
      <c r="P54" s="1"/>
      <c r="Q54" s="1"/>
    </row>
    <row r="55" spans="1:1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 t="s">
        <v>36</v>
      </c>
      <c r="N55" s="5">
        <f>SUM(N34:N54)</f>
        <v>97900</v>
      </c>
      <c r="O55" s="1"/>
      <c r="P55" s="1"/>
      <c r="Q55" s="1"/>
    </row>
  </sheetData>
  <mergeCells count="12">
    <mergeCell ref="M17:N17"/>
    <mergeCell ref="P17:Q17"/>
    <mergeCell ref="A1:P1"/>
    <mergeCell ref="M2:N2"/>
    <mergeCell ref="A3:C3"/>
    <mergeCell ref="E3:G3"/>
    <mergeCell ref="I3:K3"/>
    <mergeCell ref="M32:N32"/>
    <mergeCell ref="B36:C36"/>
    <mergeCell ref="F36:G36"/>
    <mergeCell ref="J36:K36"/>
    <mergeCell ref="G41:H41"/>
  </mergeCells>
  <hyperlinks>
    <hyperlink ref="M25" r:id="rId1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S55"/>
  <sheetViews>
    <sheetView topLeftCell="A52" workbookViewId="0">
      <selection activeCell="N55" sqref="N55"/>
    </sheetView>
  </sheetViews>
  <sheetFormatPr defaultColWidth="12.5703125" defaultRowHeight="15.75" customHeight="1" x14ac:dyDescent="0.2"/>
  <cols>
    <col min="1" max="1" width="7.42578125" customWidth="1"/>
    <col min="2" max="2" width="6.42578125" customWidth="1"/>
    <col min="3" max="3" width="7.28515625" customWidth="1"/>
    <col min="4" max="4" width="3.42578125" customWidth="1"/>
    <col min="5" max="5" width="6.140625" customWidth="1"/>
    <col min="6" max="6" width="7.5703125" customWidth="1"/>
    <col min="7" max="7" width="7.7109375" customWidth="1"/>
    <col min="8" max="8" width="4.5703125" customWidth="1"/>
    <col min="9" max="9" width="5.42578125" customWidth="1"/>
    <col min="10" max="10" width="6.42578125" customWidth="1"/>
    <col min="11" max="11" width="6.5703125" customWidth="1"/>
    <col min="12" max="12" width="3.42578125" customWidth="1"/>
    <col min="13" max="13" width="12.5703125" customWidth="1"/>
    <col min="14" max="14" width="6.7109375" customWidth="1"/>
    <col min="15" max="15" width="5.5703125" customWidth="1"/>
    <col min="16" max="16" width="11.42578125" customWidth="1"/>
    <col min="17" max="17" width="7.42578125" customWidth="1"/>
  </cols>
  <sheetData>
    <row r="1" spans="1:17" ht="12.75" x14ac:dyDescent="0.2">
      <c r="A1" s="80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79"/>
      <c r="Q1" s="1"/>
    </row>
    <row r="2" spans="1:17" ht="12.7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5" t="s">
        <v>1</v>
      </c>
      <c r="N2" s="79"/>
      <c r="O2" s="1"/>
      <c r="P2" s="1"/>
      <c r="Q2" s="1"/>
    </row>
    <row r="3" spans="1:17" ht="12.75" x14ac:dyDescent="0.2">
      <c r="A3" s="86" t="s">
        <v>2</v>
      </c>
      <c r="B3" s="84"/>
      <c r="C3" s="79"/>
      <c r="D3" s="1"/>
      <c r="E3" s="87" t="s">
        <v>3</v>
      </c>
      <c r="F3" s="84"/>
      <c r="G3" s="79"/>
      <c r="H3" s="1"/>
      <c r="I3" s="88" t="s">
        <v>4</v>
      </c>
      <c r="J3" s="84"/>
      <c r="K3" s="79"/>
      <c r="L3" s="1"/>
      <c r="M3" s="2" t="s">
        <v>5</v>
      </c>
      <c r="N3" s="3" t="s">
        <v>6</v>
      </c>
      <c r="O3" s="1"/>
      <c r="P3" s="1"/>
      <c r="Q3" s="1"/>
    </row>
    <row r="4" spans="1:17" ht="12.75" x14ac:dyDescent="0.2">
      <c r="A4" s="4" t="s">
        <v>7</v>
      </c>
      <c r="B4" s="4" t="s">
        <v>8</v>
      </c>
      <c r="C4" s="4" t="s">
        <v>9</v>
      </c>
      <c r="D4" s="1"/>
      <c r="E4" s="4" t="s">
        <v>7</v>
      </c>
      <c r="F4" s="4" t="s">
        <v>8</v>
      </c>
      <c r="G4" s="4" t="s">
        <v>9</v>
      </c>
      <c r="H4" s="1"/>
      <c r="I4" s="4" t="s">
        <v>7</v>
      </c>
      <c r="J4" s="4" t="s">
        <v>8</v>
      </c>
      <c r="K4" s="4" t="s">
        <v>9</v>
      </c>
      <c r="L4" s="1"/>
      <c r="M4" s="16" t="s">
        <v>69</v>
      </c>
      <c r="N4" s="16">
        <v>20000</v>
      </c>
      <c r="O4" s="11">
        <v>8000</v>
      </c>
      <c r="P4" s="1"/>
      <c r="Q4" s="1"/>
    </row>
    <row r="5" spans="1:17" ht="12.75" x14ac:dyDescent="0.2">
      <c r="A5" s="5">
        <v>1</v>
      </c>
      <c r="B5" s="20">
        <v>8540</v>
      </c>
      <c r="C5" s="20">
        <v>6853</v>
      </c>
      <c r="D5" s="11"/>
      <c r="E5" s="5">
        <v>1</v>
      </c>
      <c r="F5" s="20">
        <v>16419</v>
      </c>
      <c r="G5" s="20">
        <v>24410</v>
      </c>
      <c r="H5" s="7"/>
      <c r="I5" s="5">
        <v>1</v>
      </c>
      <c r="J5" s="20">
        <v>49500</v>
      </c>
      <c r="K5" s="20">
        <v>0</v>
      </c>
      <c r="L5" s="1"/>
      <c r="M5" s="4" t="s">
        <v>12</v>
      </c>
      <c r="N5" s="20">
        <v>20000</v>
      </c>
      <c r="O5" s="11">
        <v>7000</v>
      </c>
      <c r="P5" s="1"/>
      <c r="Q5" s="1"/>
    </row>
    <row r="6" spans="1:17" ht="12.75" x14ac:dyDescent="0.2">
      <c r="A6" s="5">
        <v>2</v>
      </c>
      <c r="B6" s="20">
        <v>5693</v>
      </c>
      <c r="C6" s="20">
        <v>3139</v>
      </c>
      <c r="D6" s="29"/>
      <c r="E6" s="5">
        <v>2</v>
      </c>
      <c r="F6" s="20">
        <v>10645</v>
      </c>
      <c r="G6" s="20">
        <v>4487</v>
      </c>
      <c r="H6" s="7"/>
      <c r="I6" s="5">
        <v>2</v>
      </c>
      <c r="J6" s="20">
        <v>32300</v>
      </c>
      <c r="K6" s="20">
        <v>0</v>
      </c>
      <c r="L6" s="11"/>
      <c r="M6" s="4" t="s">
        <v>15</v>
      </c>
      <c r="N6" s="20">
        <v>18000</v>
      </c>
      <c r="O6" s="11">
        <v>6000</v>
      </c>
      <c r="P6" s="1"/>
      <c r="Q6" s="1"/>
    </row>
    <row r="7" spans="1:17" ht="12.75" x14ac:dyDescent="0.2">
      <c r="A7" s="5">
        <v>3</v>
      </c>
      <c r="B7" s="20">
        <v>12858</v>
      </c>
      <c r="C7" s="20">
        <v>5681</v>
      </c>
      <c r="D7" s="7"/>
      <c r="E7" s="5">
        <v>3</v>
      </c>
      <c r="F7" s="20">
        <v>15660</v>
      </c>
      <c r="G7" s="20">
        <v>6943</v>
      </c>
      <c r="H7" s="7"/>
      <c r="I7" s="5">
        <v>3</v>
      </c>
      <c r="J7" s="20">
        <v>8900</v>
      </c>
      <c r="K7" s="20">
        <v>0</v>
      </c>
      <c r="L7" s="11"/>
      <c r="M7" s="4" t="s">
        <v>19</v>
      </c>
      <c r="N7" s="20">
        <v>15350</v>
      </c>
      <c r="O7" s="11">
        <v>5000</v>
      </c>
      <c r="P7" s="1"/>
      <c r="Q7" s="1"/>
    </row>
    <row r="8" spans="1:17" ht="12.75" x14ac:dyDescent="0.2">
      <c r="A8" s="5">
        <v>4</v>
      </c>
      <c r="B8" s="19">
        <v>14470</v>
      </c>
      <c r="C8" s="19">
        <v>2750</v>
      </c>
      <c r="D8" s="11"/>
      <c r="E8" s="5">
        <v>4</v>
      </c>
      <c r="F8" s="19">
        <v>62779</v>
      </c>
      <c r="G8" s="19">
        <v>12204</v>
      </c>
      <c r="H8" s="11"/>
      <c r="I8" s="5">
        <v>4</v>
      </c>
      <c r="J8" s="19">
        <v>4000</v>
      </c>
      <c r="K8" s="19">
        <v>0</v>
      </c>
      <c r="L8" s="1"/>
      <c r="M8" s="4" t="s">
        <v>22</v>
      </c>
      <c r="N8" s="20">
        <v>13000</v>
      </c>
      <c r="O8" s="11">
        <v>4000</v>
      </c>
      <c r="P8" s="1"/>
      <c r="Q8" s="1"/>
    </row>
    <row r="9" spans="1:17" ht="12.75" x14ac:dyDescent="0.2">
      <c r="A9" s="5">
        <v>5</v>
      </c>
      <c r="B9" s="19">
        <v>6340</v>
      </c>
      <c r="C9" s="19">
        <v>5371</v>
      </c>
      <c r="D9" s="11"/>
      <c r="E9" s="5">
        <v>5</v>
      </c>
      <c r="F9" s="19">
        <v>58937</v>
      </c>
      <c r="G9" s="19">
        <v>34308</v>
      </c>
      <c r="H9" s="11"/>
      <c r="I9" s="5">
        <v>5</v>
      </c>
      <c r="J9" s="19">
        <v>7000</v>
      </c>
      <c r="K9" s="19">
        <v>0</v>
      </c>
      <c r="L9" s="1"/>
      <c r="M9" s="4"/>
      <c r="N9" s="20"/>
      <c r="O9" s="11"/>
      <c r="P9" s="1"/>
      <c r="Q9" s="1"/>
    </row>
    <row r="10" spans="1:17" ht="12.75" x14ac:dyDescent="0.2">
      <c r="A10" s="5">
        <v>6</v>
      </c>
      <c r="B10" s="19">
        <v>1390</v>
      </c>
      <c r="C10" s="19">
        <v>0</v>
      </c>
      <c r="D10" s="11"/>
      <c r="E10" s="5">
        <v>6</v>
      </c>
      <c r="F10" s="19">
        <v>42360</v>
      </c>
      <c r="G10" s="19">
        <v>16716</v>
      </c>
      <c r="H10" s="11"/>
      <c r="I10" s="5">
        <v>6</v>
      </c>
      <c r="J10" s="19">
        <v>58500</v>
      </c>
      <c r="K10" s="19">
        <v>0</v>
      </c>
      <c r="L10" s="11"/>
      <c r="M10" s="19"/>
      <c r="N10" s="20"/>
      <c r="O10" s="11"/>
      <c r="P10" s="1"/>
      <c r="Q10" s="1"/>
    </row>
    <row r="11" spans="1:17" ht="12.75" x14ac:dyDescent="0.2">
      <c r="A11" s="5">
        <v>7</v>
      </c>
      <c r="B11" s="19">
        <v>14398</v>
      </c>
      <c r="C11" s="19">
        <v>14029</v>
      </c>
      <c r="D11" s="11"/>
      <c r="E11" s="5">
        <v>7</v>
      </c>
      <c r="F11" s="19">
        <v>44035</v>
      </c>
      <c r="G11" s="19">
        <v>31809</v>
      </c>
      <c r="H11" s="11"/>
      <c r="I11" s="5">
        <v>7</v>
      </c>
      <c r="J11" s="19">
        <v>15300</v>
      </c>
      <c r="K11" s="19">
        <v>0</v>
      </c>
      <c r="L11" s="11"/>
      <c r="M11" s="19" t="s">
        <v>29</v>
      </c>
      <c r="N11" s="20">
        <v>19000</v>
      </c>
      <c r="O11" s="40">
        <v>7000</v>
      </c>
      <c r="P11" s="1"/>
      <c r="Q11" s="1"/>
    </row>
    <row r="12" spans="1:17" ht="12.75" x14ac:dyDescent="0.2">
      <c r="A12" s="5">
        <v>8</v>
      </c>
      <c r="B12" s="19">
        <v>12692</v>
      </c>
      <c r="C12" s="19">
        <v>11333</v>
      </c>
      <c r="D12" s="11"/>
      <c r="E12" s="5">
        <v>8</v>
      </c>
      <c r="F12" s="19">
        <v>68837</v>
      </c>
      <c r="G12" s="19">
        <v>39984</v>
      </c>
      <c r="H12" s="11"/>
      <c r="I12" s="5">
        <v>8</v>
      </c>
      <c r="J12" s="19">
        <v>21300</v>
      </c>
      <c r="K12" s="19">
        <v>0</v>
      </c>
      <c r="L12" s="11"/>
      <c r="M12" s="19" t="s">
        <v>74</v>
      </c>
      <c r="N12" s="20">
        <v>15840</v>
      </c>
      <c r="O12" s="11">
        <v>5000</v>
      </c>
      <c r="P12" s="1"/>
      <c r="Q12" s="1"/>
    </row>
    <row r="13" spans="1:17" ht="12.75" x14ac:dyDescent="0.2">
      <c r="A13" s="5">
        <v>9</v>
      </c>
      <c r="B13" s="19">
        <v>5763</v>
      </c>
      <c r="C13" s="19">
        <v>1991</v>
      </c>
      <c r="D13" s="11"/>
      <c r="E13" s="5">
        <v>9</v>
      </c>
      <c r="F13" s="19">
        <v>47685</v>
      </c>
      <c r="G13" s="19">
        <v>19864</v>
      </c>
      <c r="H13" s="11"/>
      <c r="I13" s="5">
        <v>9</v>
      </c>
      <c r="J13" s="19">
        <v>1100</v>
      </c>
      <c r="K13" s="19">
        <v>0</v>
      </c>
      <c r="L13" s="11"/>
      <c r="M13" s="19" t="s">
        <v>87</v>
      </c>
      <c r="N13" s="19">
        <v>15000</v>
      </c>
      <c r="O13" s="11">
        <v>5000</v>
      </c>
      <c r="P13" s="1"/>
      <c r="Q13" s="1"/>
    </row>
    <row r="14" spans="1:17" ht="12.75" x14ac:dyDescent="0.2">
      <c r="A14" s="5">
        <v>10</v>
      </c>
      <c r="B14" s="19">
        <v>5618</v>
      </c>
      <c r="C14" s="19">
        <v>514</v>
      </c>
      <c r="D14" s="11"/>
      <c r="E14" s="5">
        <v>10</v>
      </c>
      <c r="F14" s="19">
        <v>47680</v>
      </c>
      <c r="G14" s="19">
        <v>18415</v>
      </c>
      <c r="H14" s="11"/>
      <c r="I14" s="5">
        <v>10</v>
      </c>
      <c r="J14" s="19">
        <v>15100</v>
      </c>
      <c r="K14" s="19">
        <v>0</v>
      </c>
      <c r="L14" s="1"/>
      <c r="M14" s="19" t="s">
        <v>134</v>
      </c>
      <c r="N14" s="19">
        <v>17000</v>
      </c>
      <c r="O14" s="11">
        <v>6000</v>
      </c>
      <c r="P14" s="1"/>
      <c r="Q14" s="1"/>
    </row>
    <row r="15" spans="1:17" ht="12.75" x14ac:dyDescent="0.2">
      <c r="A15" s="5">
        <v>11</v>
      </c>
      <c r="B15" s="19">
        <v>5740</v>
      </c>
      <c r="C15" s="19">
        <v>3661</v>
      </c>
      <c r="D15" s="11"/>
      <c r="E15" s="5">
        <v>11</v>
      </c>
      <c r="F15" s="19">
        <v>65980</v>
      </c>
      <c r="G15" s="19">
        <v>47621</v>
      </c>
      <c r="H15" s="11"/>
      <c r="I15" s="5">
        <v>11</v>
      </c>
      <c r="J15" s="19">
        <v>7900</v>
      </c>
      <c r="K15" s="19">
        <v>0</v>
      </c>
      <c r="L15" s="1"/>
      <c r="M15" s="12" t="s">
        <v>79</v>
      </c>
      <c r="N15" s="13">
        <f>SUM(N4:N14)</f>
        <v>153190</v>
      </c>
      <c r="O15" s="1"/>
      <c r="P15" s="1"/>
      <c r="Q15" s="1"/>
    </row>
    <row r="16" spans="1:17" ht="12.75" x14ac:dyDescent="0.2">
      <c r="A16" s="5">
        <v>12</v>
      </c>
      <c r="B16" s="19">
        <v>5399</v>
      </c>
      <c r="C16" s="19">
        <v>4529</v>
      </c>
      <c r="D16" s="11"/>
      <c r="E16" s="5">
        <v>12</v>
      </c>
      <c r="F16" s="19">
        <v>65030</v>
      </c>
      <c r="G16" s="19">
        <v>31926</v>
      </c>
      <c r="H16" s="11"/>
      <c r="I16" s="5">
        <v>12</v>
      </c>
      <c r="J16" s="19">
        <v>33000</v>
      </c>
      <c r="K16" s="19">
        <v>0</v>
      </c>
      <c r="L16" s="1"/>
      <c r="M16" s="25"/>
      <c r="N16" s="6"/>
      <c r="O16" s="1"/>
      <c r="P16" s="1"/>
      <c r="Q16" s="1"/>
    </row>
    <row r="17" spans="1:19" ht="12.75" x14ac:dyDescent="0.2">
      <c r="A17" s="5">
        <v>13</v>
      </c>
      <c r="B17" s="19">
        <v>0</v>
      </c>
      <c r="C17" s="19">
        <v>0</v>
      </c>
      <c r="D17" s="11"/>
      <c r="E17" s="5">
        <v>13</v>
      </c>
      <c r="F17" s="19">
        <v>28635</v>
      </c>
      <c r="G17" s="19">
        <v>26643</v>
      </c>
      <c r="H17" s="11"/>
      <c r="I17" s="5">
        <v>13</v>
      </c>
      <c r="J17" s="19">
        <v>11200</v>
      </c>
      <c r="K17" s="19">
        <v>0</v>
      </c>
      <c r="L17" s="1"/>
      <c r="M17" s="78" t="s">
        <v>37</v>
      </c>
      <c r="N17" s="79"/>
      <c r="O17" s="1"/>
      <c r="P17" s="80" t="s">
        <v>38</v>
      </c>
      <c r="Q17" s="79"/>
    </row>
    <row r="18" spans="1:19" ht="12.75" x14ac:dyDescent="0.2">
      <c r="A18" s="5">
        <v>14</v>
      </c>
      <c r="B18" s="19">
        <v>7785</v>
      </c>
      <c r="C18" s="19">
        <v>6754</v>
      </c>
      <c r="D18" s="11"/>
      <c r="E18" s="5">
        <v>14</v>
      </c>
      <c r="F18" s="19">
        <v>39548</v>
      </c>
      <c r="G18" s="19">
        <v>38498</v>
      </c>
      <c r="H18" s="11"/>
      <c r="I18" s="5">
        <v>14</v>
      </c>
      <c r="J18" s="19">
        <v>11400</v>
      </c>
      <c r="K18" s="19">
        <v>0</v>
      </c>
      <c r="L18" s="1"/>
      <c r="M18" s="2" t="s">
        <v>39</v>
      </c>
      <c r="N18" s="3" t="s">
        <v>6</v>
      </c>
      <c r="O18" s="1"/>
      <c r="P18" s="2" t="s">
        <v>5</v>
      </c>
      <c r="Q18" s="3" t="s">
        <v>6</v>
      </c>
    </row>
    <row r="19" spans="1:19" ht="12.75" x14ac:dyDescent="0.2">
      <c r="A19" s="5">
        <v>15</v>
      </c>
      <c r="B19" s="19">
        <v>9320</v>
      </c>
      <c r="C19" s="19">
        <v>3341</v>
      </c>
      <c r="D19" s="11"/>
      <c r="E19" s="5">
        <v>15</v>
      </c>
      <c r="F19" s="19">
        <v>61595</v>
      </c>
      <c r="G19" s="19">
        <v>30073</v>
      </c>
      <c r="H19" s="11"/>
      <c r="I19" s="5">
        <v>15</v>
      </c>
      <c r="J19" s="19">
        <v>19200</v>
      </c>
      <c r="K19" s="19">
        <v>0</v>
      </c>
      <c r="L19" s="1"/>
      <c r="M19" s="4" t="s">
        <v>41</v>
      </c>
      <c r="N19" s="20">
        <v>100000</v>
      </c>
      <c r="O19" s="1"/>
      <c r="P19" s="4" t="s">
        <v>42</v>
      </c>
      <c r="Q19" s="5">
        <f>B35+F35+J35</f>
        <v>2292584</v>
      </c>
      <c r="S19" s="42">
        <f>Q21/Q19</f>
        <v>0.36606684858657307</v>
      </c>
    </row>
    <row r="20" spans="1:19" ht="12.75" x14ac:dyDescent="0.2">
      <c r="A20" s="5">
        <v>16</v>
      </c>
      <c r="B20" s="19">
        <v>3079</v>
      </c>
      <c r="C20" s="19">
        <v>3077</v>
      </c>
      <c r="D20" s="11"/>
      <c r="E20" s="5">
        <v>16</v>
      </c>
      <c r="F20" s="19">
        <v>56355</v>
      </c>
      <c r="G20" s="19">
        <v>28559</v>
      </c>
      <c r="H20" s="11"/>
      <c r="I20" s="5">
        <v>16</v>
      </c>
      <c r="J20" s="19">
        <v>12500</v>
      </c>
      <c r="K20" s="19">
        <v>0</v>
      </c>
      <c r="L20" s="11"/>
      <c r="M20" s="4" t="s">
        <v>43</v>
      </c>
      <c r="N20" s="19">
        <v>63660</v>
      </c>
      <c r="O20" s="1"/>
      <c r="P20" s="4" t="s">
        <v>44</v>
      </c>
      <c r="Q20" s="5">
        <f>C35+G35+K35+N15+N30+N55</f>
        <v>1453345</v>
      </c>
    </row>
    <row r="21" spans="1:19" ht="12.75" x14ac:dyDescent="0.2">
      <c r="A21" s="5">
        <v>17</v>
      </c>
      <c r="B21" s="19">
        <v>3911</v>
      </c>
      <c r="C21" s="19">
        <v>3321</v>
      </c>
      <c r="D21" s="11"/>
      <c r="E21" s="5">
        <v>17</v>
      </c>
      <c r="F21" s="19">
        <v>59115</v>
      </c>
      <c r="G21" s="19">
        <v>25563</v>
      </c>
      <c r="H21" s="11"/>
      <c r="I21" s="5">
        <v>17</v>
      </c>
      <c r="J21" s="19">
        <v>0</v>
      </c>
      <c r="K21" s="19">
        <v>0</v>
      </c>
      <c r="L21" s="1"/>
      <c r="M21" s="4" t="s">
        <v>46</v>
      </c>
      <c r="N21" s="20">
        <v>3000</v>
      </c>
      <c r="O21" s="1"/>
      <c r="P21" s="26" t="s">
        <v>47</v>
      </c>
      <c r="Q21" s="27">
        <f>Q19-Q20</f>
        <v>839239</v>
      </c>
    </row>
    <row r="22" spans="1:19" ht="12.75" x14ac:dyDescent="0.2">
      <c r="A22" s="5">
        <v>18</v>
      </c>
      <c r="B22" s="19">
        <v>4370</v>
      </c>
      <c r="C22" s="19">
        <v>4052</v>
      </c>
      <c r="D22" s="11"/>
      <c r="E22" s="5">
        <v>18</v>
      </c>
      <c r="F22" s="19">
        <v>51550</v>
      </c>
      <c r="G22" s="19">
        <v>38500</v>
      </c>
      <c r="H22" s="11"/>
      <c r="I22" s="5">
        <v>18</v>
      </c>
      <c r="J22" s="19">
        <v>3500</v>
      </c>
      <c r="K22" s="19">
        <v>0</v>
      </c>
      <c r="L22" s="1"/>
      <c r="M22" s="70" t="s">
        <v>166</v>
      </c>
      <c r="N22" s="19">
        <v>25905</v>
      </c>
      <c r="O22" s="1"/>
      <c r="P22" s="4" t="s">
        <v>49</v>
      </c>
      <c r="Q22" s="20">
        <v>35000</v>
      </c>
    </row>
    <row r="23" spans="1:19" ht="12.75" x14ac:dyDescent="0.2">
      <c r="A23" s="5">
        <v>19</v>
      </c>
      <c r="B23" s="20">
        <v>6165</v>
      </c>
      <c r="C23" s="67">
        <v>5241</v>
      </c>
      <c r="D23" s="11"/>
      <c r="E23" s="5">
        <v>19</v>
      </c>
      <c r="F23" s="19">
        <v>83610</v>
      </c>
      <c r="G23" s="19">
        <v>19917</v>
      </c>
      <c r="H23" s="11"/>
      <c r="I23" s="5">
        <v>19</v>
      </c>
      <c r="J23" s="19">
        <v>9000</v>
      </c>
      <c r="K23" s="19">
        <v>0</v>
      </c>
      <c r="L23" s="1"/>
      <c r="M23" s="4" t="s">
        <v>50</v>
      </c>
      <c r="N23" s="20">
        <v>2490</v>
      </c>
      <c r="O23" s="1"/>
      <c r="P23" s="11" t="s">
        <v>133</v>
      </c>
      <c r="Q23" s="1">
        <f>C35+G35+K35</f>
        <v>985500</v>
      </c>
    </row>
    <row r="24" spans="1:19" ht="12.75" x14ac:dyDescent="0.2">
      <c r="A24" s="5">
        <v>20</v>
      </c>
      <c r="B24" s="19">
        <v>0</v>
      </c>
      <c r="C24" s="19">
        <v>0</v>
      </c>
      <c r="D24" s="11"/>
      <c r="E24" s="5">
        <v>20</v>
      </c>
      <c r="F24" s="19">
        <v>36475</v>
      </c>
      <c r="G24" s="19">
        <v>20961</v>
      </c>
      <c r="H24" s="11"/>
      <c r="I24" s="5">
        <v>20</v>
      </c>
      <c r="J24" s="19">
        <v>4500</v>
      </c>
      <c r="K24" s="19">
        <v>0</v>
      </c>
      <c r="L24" s="1"/>
      <c r="M24" s="4" t="s">
        <v>51</v>
      </c>
      <c r="N24" s="20">
        <v>5000</v>
      </c>
      <c r="O24" s="1"/>
      <c r="P24" s="1"/>
      <c r="Q24" s="1"/>
    </row>
    <row r="25" spans="1:19" ht="12.75" x14ac:dyDescent="0.2">
      <c r="A25" s="5">
        <v>21</v>
      </c>
      <c r="B25" s="19">
        <v>12472</v>
      </c>
      <c r="C25" s="19">
        <v>3610</v>
      </c>
      <c r="D25" s="11"/>
      <c r="E25" s="5">
        <v>21</v>
      </c>
      <c r="F25" s="19">
        <v>56513</v>
      </c>
      <c r="G25" s="19">
        <v>29277</v>
      </c>
      <c r="H25" s="11"/>
      <c r="I25" s="5">
        <v>21</v>
      </c>
      <c r="J25" s="19">
        <v>15200</v>
      </c>
      <c r="K25" s="19">
        <v>0</v>
      </c>
      <c r="L25" s="11"/>
      <c r="M25" s="71"/>
      <c r="N25" s="19"/>
      <c r="O25" s="1"/>
      <c r="P25" s="1"/>
      <c r="Q25" s="1"/>
    </row>
    <row r="26" spans="1:19" ht="12.75" x14ac:dyDescent="0.2">
      <c r="A26" s="5">
        <v>22</v>
      </c>
      <c r="B26" s="19">
        <v>900</v>
      </c>
      <c r="C26" s="19">
        <v>860</v>
      </c>
      <c r="D26" s="11"/>
      <c r="E26" s="5">
        <v>22</v>
      </c>
      <c r="F26" s="19">
        <v>66530</v>
      </c>
      <c r="G26" s="19">
        <v>59750</v>
      </c>
      <c r="H26" s="11"/>
      <c r="I26" s="5">
        <v>22</v>
      </c>
      <c r="J26" s="19">
        <v>24700</v>
      </c>
      <c r="K26" s="19">
        <v>0</v>
      </c>
      <c r="L26" s="1"/>
      <c r="M26" s="19"/>
      <c r="N26" s="19"/>
      <c r="O26" s="1"/>
      <c r="P26" s="1"/>
      <c r="Q26" s="1"/>
    </row>
    <row r="27" spans="1:19" ht="15.75" customHeight="1" x14ac:dyDescent="0.4">
      <c r="A27" s="5">
        <v>23</v>
      </c>
      <c r="B27" s="19">
        <v>2745</v>
      </c>
      <c r="C27" s="19">
        <v>980</v>
      </c>
      <c r="D27" s="11"/>
      <c r="E27" s="5">
        <v>23</v>
      </c>
      <c r="F27" s="19">
        <v>57149</v>
      </c>
      <c r="G27" s="19">
        <v>24981</v>
      </c>
      <c r="H27" s="11"/>
      <c r="I27" s="5">
        <v>23</v>
      </c>
      <c r="J27" s="19">
        <v>10700</v>
      </c>
      <c r="K27" s="19">
        <v>0</v>
      </c>
      <c r="L27" s="1"/>
      <c r="M27" s="19"/>
      <c r="N27" s="19"/>
      <c r="O27" s="1"/>
      <c r="P27" s="19" t="s">
        <v>139</v>
      </c>
      <c r="Q27" s="63">
        <f>(N15+N55)-Z17</f>
        <v>267790</v>
      </c>
    </row>
    <row r="28" spans="1:19" ht="15.75" customHeight="1" x14ac:dyDescent="0.4">
      <c r="A28" s="5">
        <v>24</v>
      </c>
      <c r="B28" s="19">
        <v>1432</v>
      </c>
      <c r="C28" s="19">
        <v>1425</v>
      </c>
      <c r="D28" s="11"/>
      <c r="E28" s="5">
        <v>24</v>
      </c>
      <c r="F28" s="19">
        <v>50355</v>
      </c>
      <c r="G28" s="19">
        <v>24705</v>
      </c>
      <c r="H28" s="11"/>
      <c r="I28" s="5">
        <v>24</v>
      </c>
      <c r="J28" s="19">
        <v>34500</v>
      </c>
      <c r="K28" s="19">
        <v>0</v>
      </c>
      <c r="L28" s="1"/>
      <c r="M28" s="4"/>
      <c r="N28" s="4"/>
      <c r="O28" s="1"/>
      <c r="P28" s="19" t="s">
        <v>140</v>
      </c>
      <c r="Q28" s="64">
        <f>O45</f>
        <v>92000</v>
      </c>
    </row>
    <row r="29" spans="1:19" ht="12.75" x14ac:dyDescent="0.2">
      <c r="A29" s="5">
        <v>25</v>
      </c>
      <c r="B29" s="19">
        <v>5389</v>
      </c>
      <c r="C29" s="19">
        <v>1560</v>
      </c>
      <c r="D29" s="11"/>
      <c r="E29" s="5">
        <v>25</v>
      </c>
      <c r="F29" s="19">
        <v>60699</v>
      </c>
      <c r="G29" s="19">
        <v>32028</v>
      </c>
      <c r="H29" s="11"/>
      <c r="I29" s="5">
        <v>25</v>
      </c>
      <c r="J29" s="19">
        <v>2600</v>
      </c>
      <c r="K29" s="19">
        <v>0</v>
      </c>
      <c r="L29" s="1"/>
      <c r="M29" s="4"/>
      <c r="N29" s="4"/>
      <c r="O29" s="1"/>
      <c r="P29" s="19" t="s">
        <v>141</v>
      </c>
      <c r="Q29" s="4">
        <f>Q27-Q28</f>
        <v>175790</v>
      </c>
    </row>
    <row r="30" spans="1:19" ht="12.75" x14ac:dyDescent="0.2">
      <c r="A30" s="5">
        <v>26</v>
      </c>
      <c r="B30" s="19">
        <v>7238</v>
      </c>
      <c r="C30" s="19">
        <v>6178</v>
      </c>
      <c r="D30" s="11"/>
      <c r="E30" s="5">
        <v>26</v>
      </c>
      <c r="F30" s="19">
        <v>68409</v>
      </c>
      <c r="G30" s="19">
        <v>30699</v>
      </c>
      <c r="H30" s="11"/>
      <c r="I30" s="5">
        <v>26</v>
      </c>
      <c r="J30" s="19">
        <v>16100</v>
      </c>
      <c r="K30" s="19">
        <v>0</v>
      </c>
      <c r="L30" s="1"/>
      <c r="M30" s="12" t="s">
        <v>36</v>
      </c>
      <c r="N30" s="13">
        <f>SUM(N19:N29)</f>
        <v>200055</v>
      </c>
      <c r="O30" s="1"/>
      <c r="P30" s="1"/>
      <c r="Q30" s="11"/>
    </row>
    <row r="31" spans="1:19" ht="12.75" x14ac:dyDescent="0.2">
      <c r="A31" s="5">
        <v>27</v>
      </c>
      <c r="B31" s="19">
        <v>0</v>
      </c>
      <c r="C31" s="19">
        <v>0</v>
      </c>
      <c r="D31" s="11"/>
      <c r="E31" s="5">
        <v>27</v>
      </c>
      <c r="F31" s="19">
        <v>63465</v>
      </c>
      <c r="G31" s="19">
        <v>31785</v>
      </c>
      <c r="H31" s="11"/>
      <c r="I31" s="5">
        <v>27</v>
      </c>
      <c r="J31" s="19">
        <v>6300</v>
      </c>
      <c r="K31" s="19">
        <v>0</v>
      </c>
      <c r="L31" s="1"/>
      <c r="M31" s="1"/>
      <c r="N31" s="1"/>
      <c r="O31" s="1"/>
      <c r="P31" s="1"/>
      <c r="Q31" s="1"/>
    </row>
    <row r="32" spans="1:19" ht="12.75" x14ac:dyDescent="0.2">
      <c r="A32" s="5">
        <v>28</v>
      </c>
      <c r="B32" s="19">
        <v>3585</v>
      </c>
      <c r="C32" s="19">
        <v>1264</v>
      </c>
      <c r="D32" s="11"/>
      <c r="E32" s="5">
        <v>28</v>
      </c>
      <c r="F32" s="19">
        <v>44240</v>
      </c>
      <c r="G32" s="19">
        <v>40626</v>
      </c>
      <c r="H32" s="1"/>
      <c r="I32" s="5">
        <v>28</v>
      </c>
      <c r="J32" s="19">
        <v>30400</v>
      </c>
      <c r="K32" s="19">
        <v>0</v>
      </c>
      <c r="L32" s="1"/>
      <c r="M32" s="81" t="s">
        <v>53</v>
      </c>
      <c r="N32" s="79"/>
      <c r="O32" s="1"/>
      <c r="P32" s="1"/>
      <c r="Q32" s="1"/>
    </row>
    <row r="33" spans="1:17" ht="12.75" x14ac:dyDescent="0.2">
      <c r="A33" s="5">
        <v>29</v>
      </c>
      <c r="B33" s="19">
        <v>6007</v>
      </c>
      <c r="C33" s="19">
        <v>5867</v>
      </c>
      <c r="D33" s="11"/>
      <c r="E33" s="5">
        <v>29</v>
      </c>
      <c r="F33" s="19">
        <v>43399</v>
      </c>
      <c r="G33" s="19">
        <v>23336</v>
      </c>
      <c r="H33" s="1"/>
      <c r="I33" s="5">
        <v>29</v>
      </c>
      <c r="J33" s="19">
        <v>15000</v>
      </c>
      <c r="K33" s="19">
        <v>0</v>
      </c>
      <c r="L33" s="1"/>
      <c r="M33" s="2" t="s">
        <v>39</v>
      </c>
      <c r="N33" s="3" t="s">
        <v>6</v>
      </c>
      <c r="O33" s="1"/>
      <c r="P33" s="1"/>
      <c r="Q33" s="1"/>
    </row>
    <row r="34" spans="1:17" ht="12.75" x14ac:dyDescent="0.2">
      <c r="A34" s="5">
        <v>30</v>
      </c>
      <c r="B34" s="19">
        <v>3900</v>
      </c>
      <c r="C34" s="19">
        <v>2288</v>
      </c>
      <c r="D34" s="11"/>
      <c r="E34" s="5">
        <v>30</v>
      </c>
      <c r="F34" s="19">
        <v>55670</v>
      </c>
      <c r="G34" s="19">
        <v>28865</v>
      </c>
      <c r="H34" s="1"/>
      <c r="I34" s="5">
        <v>30</v>
      </c>
      <c r="J34" s="19">
        <v>26100</v>
      </c>
      <c r="K34" s="19">
        <v>0</v>
      </c>
      <c r="L34" s="11" t="s">
        <v>167</v>
      </c>
      <c r="M34" s="19" t="s">
        <v>168</v>
      </c>
      <c r="N34" s="19">
        <v>3500</v>
      </c>
      <c r="O34" s="11"/>
      <c r="P34" s="1"/>
      <c r="Q34" s="1"/>
    </row>
    <row r="35" spans="1:17" ht="12.75" x14ac:dyDescent="0.2">
      <c r="A35" s="12" t="s">
        <v>36</v>
      </c>
      <c r="B35" s="13">
        <f t="shared" ref="B35:C35" si="0">SUM(B5:B34)+B37</f>
        <v>187057</v>
      </c>
      <c r="C35" s="13">
        <f t="shared" si="0"/>
        <v>115652</v>
      </c>
      <c r="D35" s="1"/>
      <c r="E35" s="12" t="s">
        <v>36</v>
      </c>
      <c r="F35" s="13">
        <f t="shared" ref="F35:G35" si="1">SUM(F5:F34)+F37</f>
        <v>1574427</v>
      </c>
      <c r="G35" s="13">
        <f t="shared" si="1"/>
        <v>869848</v>
      </c>
      <c r="H35" s="1"/>
      <c r="I35" s="12" t="s">
        <v>36</v>
      </c>
      <c r="J35" s="13">
        <f t="shared" ref="J35:K35" si="2">SUM(J5:J34)+J37</f>
        <v>531100</v>
      </c>
      <c r="K35" s="13">
        <f t="shared" si="2"/>
        <v>0</v>
      </c>
      <c r="L35" s="11"/>
      <c r="M35" s="19" t="s">
        <v>102</v>
      </c>
      <c r="N35" s="19">
        <v>25000</v>
      </c>
      <c r="O35" s="11">
        <v>9000</v>
      </c>
      <c r="P35" s="1"/>
      <c r="Q35" s="1"/>
    </row>
    <row r="36" spans="1:17" ht="12.75" x14ac:dyDescent="0.2">
      <c r="A36" s="3" t="s">
        <v>56</v>
      </c>
      <c r="B36" s="82">
        <f>B35-C35</f>
        <v>71405</v>
      </c>
      <c r="C36" s="79"/>
      <c r="D36" s="1"/>
      <c r="E36" s="3" t="s">
        <v>56</v>
      </c>
      <c r="F36" s="82">
        <f>F35-G35</f>
        <v>704579</v>
      </c>
      <c r="G36" s="79"/>
      <c r="H36" s="1"/>
      <c r="I36" s="3" t="s">
        <v>56</v>
      </c>
      <c r="J36" s="82">
        <f>J35-K35</f>
        <v>531100</v>
      </c>
      <c r="K36" s="79"/>
      <c r="M36" s="19" t="s">
        <v>112</v>
      </c>
      <c r="N36" s="19">
        <v>13000</v>
      </c>
      <c r="O36" s="11">
        <v>4000</v>
      </c>
      <c r="P36" s="1"/>
      <c r="Q36" s="1"/>
    </row>
    <row r="37" spans="1:17" ht="12.75" x14ac:dyDescent="0.2">
      <c r="A37" s="5">
        <v>31</v>
      </c>
      <c r="B37" s="19">
        <v>9858</v>
      </c>
      <c r="C37" s="19">
        <v>5983</v>
      </c>
      <c r="D37" s="11"/>
      <c r="E37" s="5">
        <v>31</v>
      </c>
      <c r="F37" s="19">
        <v>45068</v>
      </c>
      <c r="G37" s="19">
        <v>26395</v>
      </c>
      <c r="H37" s="1"/>
      <c r="I37" s="5">
        <v>31</v>
      </c>
      <c r="J37" s="19">
        <v>24300</v>
      </c>
      <c r="K37" s="19">
        <v>0</v>
      </c>
      <c r="L37" s="60"/>
      <c r="M37" s="19" t="s">
        <v>142</v>
      </c>
      <c r="N37" s="19">
        <v>14000</v>
      </c>
      <c r="O37" s="11">
        <v>5000</v>
      </c>
      <c r="P37" s="1"/>
      <c r="Q37" s="1"/>
    </row>
    <row r="38" spans="1:17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4" t="s">
        <v>144</v>
      </c>
      <c r="N38" s="54">
        <v>11000</v>
      </c>
      <c r="O38" s="11">
        <v>4000</v>
      </c>
      <c r="P38" s="1">
        <f>C47-C48-Z17-N26-N27</f>
        <v>1307084</v>
      </c>
      <c r="Q38" s="1"/>
    </row>
    <row r="39" spans="1:17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1"/>
      <c r="M39" s="19"/>
      <c r="N39" s="19"/>
      <c r="O39" s="11"/>
      <c r="P39" s="1"/>
      <c r="Q39" s="1"/>
    </row>
    <row r="40" spans="1:1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1"/>
      <c r="M40" s="19" t="s">
        <v>149</v>
      </c>
      <c r="N40" s="19">
        <v>11000</v>
      </c>
      <c r="O40" s="11">
        <v>4000</v>
      </c>
      <c r="P40" s="1"/>
      <c r="Q40" s="1"/>
    </row>
    <row r="41" spans="1:17" ht="12.75" x14ac:dyDescent="0.2">
      <c r="A41" s="1"/>
      <c r="B41" s="1"/>
      <c r="C41" s="1"/>
      <c r="D41" s="1"/>
      <c r="E41" s="1"/>
      <c r="F41" s="1"/>
      <c r="G41" s="83" t="s">
        <v>130</v>
      </c>
      <c r="H41" s="79"/>
      <c r="I41" s="1"/>
      <c r="J41" s="1"/>
      <c r="K41" s="1"/>
      <c r="L41" s="1"/>
      <c r="M41" s="19" t="s">
        <v>150</v>
      </c>
      <c r="N41" s="19">
        <v>12100</v>
      </c>
      <c r="O41" s="11">
        <v>4000</v>
      </c>
      <c r="P41" s="1"/>
      <c r="Q41" s="1"/>
    </row>
    <row r="42" spans="1:17" ht="12.75" x14ac:dyDescent="0.2">
      <c r="A42" s="1"/>
      <c r="B42" s="1"/>
      <c r="C42" s="1"/>
      <c r="D42" s="1"/>
      <c r="E42" s="1"/>
      <c r="F42" s="1"/>
      <c r="G42" s="19" t="s">
        <v>106</v>
      </c>
      <c r="H42" s="19" t="s">
        <v>131</v>
      </c>
      <c r="I42" s="1"/>
      <c r="J42" s="1"/>
      <c r="K42" s="1"/>
      <c r="L42" s="11"/>
      <c r="M42" s="19"/>
      <c r="N42" s="19"/>
      <c r="O42" s="1"/>
      <c r="P42" s="1"/>
      <c r="Q42" s="1"/>
    </row>
    <row r="43" spans="1:17" ht="12.75" x14ac:dyDescent="0.2">
      <c r="A43" s="1"/>
      <c r="B43" s="1"/>
      <c r="C43" s="1"/>
      <c r="D43" s="1"/>
      <c r="E43" s="1"/>
      <c r="F43" s="1"/>
      <c r="G43" s="62"/>
      <c r="H43" s="19"/>
      <c r="I43" s="1"/>
      <c r="J43" s="1"/>
      <c r="K43" s="1"/>
      <c r="L43" s="1"/>
      <c r="M43" s="19" t="s">
        <v>157</v>
      </c>
      <c r="N43" s="19">
        <v>14000</v>
      </c>
      <c r="O43" s="11">
        <v>5000</v>
      </c>
      <c r="P43" s="1"/>
      <c r="Q43" s="1"/>
    </row>
    <row r="44" spans="1:17" ht="12.75" x14ac:dyDescent="0.2">
      <c r="A44" s="1"/>
      <c r="B44" s="1"/>
      <c r="C44" s="1"/>
      <c r="D44" s="1"/>
      <c r="E44" s="1"/>
      <c r="F44" s="1"/>
      <c r="G44" s="62"/>
      <c r="H44" s="19"/>
      <c r="I44" s="1"/>
      <c r="J44" s="1"/>
      <c r="K44" s="1"/>
      <c r="L44" s="1"/>
      <c r="M44" s="19" t="s">
        <v>162</v>
      </c>
      <c r="N44" s="19">
        <v>11000</v>
      </c>
      <c r="O44" s="11">
        <v>4000</v>
      </c>
      <c r="P44" s="1"/>
      <c r="Q44" s="1"/>
    </row>
    <row r="45" spans="1:17" ht="12.75" x14ac:dyDescent="0.2">
      <c r="A45" s="1"/>
      <c r="B45" s="1"/>
      <c r="C45" s="1"/>
      <c r="D45" s="1"/>
      <c r="E45" s="1"/>
      <c r="F45" s="1"/>
      <c r="G45" s="62"/>
      <c r="H45" s="19"/>
      <c r="I45" s="1"/>
      <c r="J45" s="1"/>
      <c r="K45" s="1"/>
      <c r="L45" s="1"/>
      <c r="M45" s="4"/>
      <c r="N45" s="4"/>
      <c r="O45" s="1">
        <f>SUM(O4:O44)</f>
        <v>92000</v>
      </c>
      <c r="P45" s="1"/>
      <c r="Q45" s="1"/>
    </row>
    <row r="46" spans="1:17" ht="12.75" x14ac:dyDescent="0.2">
      <c r="A46" s="1"/>
      <c r="B46" s="1"/>
      <c r="C46" s="1"/>
      <c r="D46" s="1"/>
      <c r="E46" s="1"/>
      <c r="F46" s="1"/>
      <c r="G46" s="62"/>
      <c r="H46" s="19"/>
      <c r="I46" s="1"/>
      <c r="J46" s="1"/>
      <c r="K46" s="1"/>
      <c r="L46" s="1"/>
      <c r="M46" s="4"/>
      <c r="N46" s="4"/>
      <c r="O46" s="1"/>
      <c r="P46" s="1"/>
      <c r="Q46" s="1"/>
    </row>
    <row r="47" spans="1:17" ht="12.75" x14ac:dyDescent="0.2">
      <c r="A47" s="1"/>
      <c r="B47" s="1"/>
      <c r="C47" s="1">
        <f>(B35+F35+J35)</f>
        <v>2292584</v>
      </c>
      <c r="D47" s="1"/>
      <c r="E47" s="1"/>
      <c r="F47" s="1"/>
      <c r="G47" s="62"/>
      <c r="H47" s="19"/>
      <c r="I47" s="1"/>
      <c r="J47" s="1"/>
      <c r="K47" s="1"/>
      <c r="L47" s="1"/>
      <c r="M47" s="4"/>
      <c r="N47" s="4"/>
      <c r="O47" s="1"/>
      <c r="P47" s="1"/>
      <c r="Q47" s="1"/>
    </row>
    <row r="48" spans="1:17" ht="12.75" x14ac:dyDescent="0.2">
      <c r="A48" s="1"/>
      <c r="B48" s="1"/>
      <c r="C48" s="42">
        <f>C35+G35</f>
        <v>985500</v>
      </c>
      <c r="D48" s="1"/>
      <c r="E48" s="1"/>
      <c r="F48" s="1"/>
      <c r="G48" s="62"/>
      <c r="H48" s="19"/>
      <c r="I48" s="1"/>
      <c r="J48" s="1"/>
      <c r="K48" s="1"/>
      <c r="L48" s="1"/>
      <c r="M48" s="4"/>
      <c r="N48" s="4"/>
      <c r="O48" s="1"/>
      <c r="P48" s="11">
        <v>105100</v>
      </c>
      <c r="Q48" s="1"/>
    </row>
    <row r="49" spans="1:17" ht="12.75" x14ac:dyDescent="0.2">
      <c r="A49" s="1"/>
      <c r="B49" s="1"/>
      <c r="C49" s="1">
        <f>C48/C47</f>
        <v>0.42986429286778588</v>
      </c>
      <c r="D49" s="1"/>
      <c r="E49" s="1"/>
      <c r="F49" s="1"/>
      <c r="G49" s="62"/>
      <c r="H49" s="19"/>
      <c r="I49" s="1"/>
      <c r="J49" s="1"/>
      <c r="K49" s="1"/>
      <c r="L49" s="1"/>
      <c r="M49" s="4"/>
      <c r="N49" s="4"/>
      <c r="O49" s="1"/>
      <c r="P49" s="1"/>
      <c r="Q49" s="1"/>
    </row>
    <row r="50" spans="1:17" ht="12.75" x14ac:dyDescent="0.2">
      <c r="A50" s="1"/>
      <c r="B50" s="1"/>
      <c r="C50" s="1"/>
      <c r="D50" s="1"/>
      <c r="E50" s="1"/>
      <c r="F50" s="1"/>
      <c r="G50" s="21"/>
      <c r="H50" s="19"/>
      <c r="I50" s="1"/>
      <c r="J50" s="1"/>
      <c r="K50" s="1"/>
      <c r="L50" s="1"/>
      <c r="M50" s="4"/>
      <c r="N50" s="4"/>
      <c r="O50" s="1"/>
      <c r="P50" s="1"/>
      <c r="Q50" s="1"/>
    </row>
    <row r="51" spans="1:17" ht="12.75" x14ac:dyDescent="0.2">
      <c r="A51" s="1"/>
      <c r="B51" s="1"/>
      <c r="C51" s="1"/>
      <c r="D51" s="1"/>
      <c r="E51" s="1"/>
      <c r="F51" s="1"/>
      <c r="G51" s="4"/>
      <c r="H51" s="4"/>
      <c r="I51" s="1"/>
      <c r="J51" s="1"/>
      <c r="K51" s="1"/>
      <c r="L51" s="1"/>
      <c r="M51" s="4"/>
      <c r="N51" s="4"/>
      <c r="O51" s="1"/>
      <c r="P51" s="1"/>
      <c r="Q51" s="1"/>
    </row>
    <row r="52" spans="1:1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4"/>
      <c r="O52" s="1"/>
      <c r="P52" s="1"/>
      <c r="Q52" s="1"/>
    </row>
    <row r="53" spans="1:1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4"/>
      <c r="O53" s="1"/>
      <c r="P53" s="1"/>
      <c r="Q53" s="1"/>
    </row>
    <row r="54" spans="1:1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4"/>
      <c r="O54" s="1"/>
      <c r="P54" s="1"/>
      <c r="Q54" s="1"/>
    </row>
    <row r="55" spans="1:1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 t="s">
        <v>36</v>
      </c>
      <c r="N55" s="5">
        <f>SUM(N34:N54)</f>
        <v>114600</v>
      </c>
      <c r="O55" s="1"/>
      <c r="P55" s="1"/>
      <c r="Q55" s="1"/>
    </row>
  </sheetData>
  <mergeCells count="12">
    <mergeCell ref="M17:N17"/>
    <mergeCell ref="P17:Q17"/>
    <mergeCell ref="A1:P1"/>
    <mergeCell ref="M2:N2"/>
    <mergeCell ref="A3:C3"/>
    <mergeCell ref="E3:G3"/>
    <mergeCell ref="I3:K3"/>
    <mergeCell ref="M32:N32"/>
    <mergeCell ref="B36:C36"/>
    <mergeCell ref="F36:G36"/>
    <mergeCell ref="J36:K36"/>
    <mergeCell ref="G41:H41"/>
  </mergeCells>
  <hyperlinks>
    <hyperlink ref="M22" r:id="rId1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S55"/>
  <sheetViews>
    <sheetView topLeftCell="A43" workbookViewId="0">
      <selection activeCell="N55" sqref="N55"/>
    </sheetView>
  </sheetViews>
  <sheetFormatPr defaultColWidth="12.5703125" defaultRowHeight="15.75" customHeight="1" x14ac:dyDescent="0.2"/>
  <cols>
    <col min="1" max="1" width="5.85546875" customWidth="1"/>
    <col min="2" max="2" width="7.140625" customWidth="1"/>
    <col min="3" max="3" width="7.42578125" customWidth="1"/>
    <col min="4" max="4" width="3.7109375" customWidth="1"/>
    <col min="5" max="5" width="5.85546875" customWidth="1"/>
    <col min="6" max="6" width="6.42578125" customWidth="1"/>
    <col min="7" max="7" width="6.5703125" customWidth="1"/>
    <col min="8" max="8" width="4.5703125" customWidth="1"/>
    <col min="9" max="9" width="7.85546875" customWidth="1"/>
    <col min="10" max="10" width="7.42578125" customWidth="1"/>
    <col min="11" max="11" width="6.5703125" customWidth="1"/>
    <col min="12" max="12" width="4.42578125" customWidth="1"/>
    <col min="13" max="13" width="12" customWidth="1"/>
    <col min="14" max="14" width="6.7109375" customWidth="1"/>
    <col min="15" max="15" width="5.5703125" customWidth="1"/>
    <col min="16" max="16" width="11.42578125" customWidth="1"/>
    <col min="17" max="17" width="7.140625" customWidth="1"/>
  </cols>
  <sheetData>
    <row r="1" spans="1:17" ht="12.75" x14ac:dyDescent="0.2">
      <c r="A1" s="80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79"/>
      <c r="Q1" s="1"/>
    </row>
    <row r="2" spans="1:17" ht="12.7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5" t="s">
        <v>1</v>
      </c>
      <c r="N2" s="79"/>
      <c r="O2" s="1"/>
      <c r="P2" s="1"/>
      <c r="Q2" s="1"/>
    </row>
    <row r="3" spans="1:17" ht="12.75" x14ac:dyDescent="0.2">
      <c r="A3" s="86" t="s">
        <v>2</v>
      </c>
      <c r="B3" s="84"/>
      <c r="C3" s="79"/>
      <c r="D3" s="1"/>
      <c r="E3" s="87" t="s">
        <v>3</v>
      </c>
      <c r="F3" s="84"/>
      <c r="G3" s="79"/>
      <c r="H3" s="1"/>
      <c r="I3" s="88" t="s">
        <v>4</v>
      </c>
      <c r="J3" s="84"/>
      <c r="K3" s="79"/>
      <c r="L3" s="1"/>
      <c r="M3" s="2" t="s">
        <v>5</v>
      </c>
      <c r="N3" s="3" t="s">
        <v>6</v>
      </c>
      <c r="O3" s="1"/>
      <c r="P3" s="1"/>
      <c r="Q3" s="1"/>
    </row>
    <row r="4" spans="1:17" ht="12.75" x14ac:dyDescent="0.2">
      <c r="A4" s="4" t="s">
        <v>7</v>
      </c>
      <c r="B4" s="4" t="s">
        <v>8</v>
      </c>
      <c r="C4" s="4" t="s">
        <v>9</v>
      </c>
      <c r="D4" s="1"/>
      <c r="E4" s="4" t="s">
        <v>7</v>
      </c>
      <c r="F4" s="4" t="s">
        <v>8</v>
      </c>
      <c r="G4" s="4" t="s">
        <v>9</v>
      </c>
      <c r="H4" s="1"/>
      <c r="I4" s="4" t="s">
        <v>7</v>
      </c>
      <c r="J4" s="4" t="s">
        <v>8</v>
      </c>
      <c r="K4" s="4" t="s">
        <v>9</v>
      </c>
      <c r="L4" s="1"/>
      <c r="M4" s="16" t="s">
        <v>69</v>
      </c>
      <c r="N4" s="16">
        <v>20000</v>
      </c>
      <c r="O4" s="11">
        <v>7000</v>
      </c>
      <c r="P4" s="1"/>
      <c r="Q4" s="1"/>
    </row>
    <row r="5" spans="1:17" ht="12.75" x14ac:dyDescent="0.2">
      <c r="A5" s="5">
        <v>1</v>
      </c>
      <c r="B5" s="20">
        <v>13541</v>
      </c>
      <c r="C5" s="20">
        <v>10524</v>
      </c>
      <c r="D5" s="11"/>
      <c r="E5" s="5">
        <v>1</v>
      </c>
      <c r="F5" s="20">
        <v>33825</v>
      </c>
      <c r="G5" s="20">
        <v>22220</v>
      </c>
      <c r="H5" s="7"/>
      <c r="I5" s="5">
        <v>1</v>
      </c>
      <c r="J5" s="20">
        <v>4600</v>
      </c>
      <c r="K5" s="20">
        <v>0</v>
      </c>
      <c r="L5" s="1"/>
      <c r="M5" s="4" t="s">
        <v>12</v>
      </c>
      <c r="N5" s="20">
        <v>20000</v>
      </c>
      <c r="O5" s="11">
        <v>7000</v>
      </c>
      <c r="P5" s="1"/>
      <c r="Q5" s="1"/>
    </row>
    <row r="6" spans="1:17" ht="12.75" x14ac:dyDescent="0.2">
      <c r="A6" s="5">
        <v>2</v>
      </c>
      <c r="B6" s="20">
        <v>7621</v>
      </c>
      <c r="C6" s="20">
        <v>6408</v>
      </c>
      <c r="D6" s="29"/>
      <c r="E6" s="5">
        <v>2</v>
      </c>
      <c r="F6" s="20">
        <v>61575</v>
      </c>
      <c r="G6" s="20">
        <v>35129</v>
      </c>
      <c r="H6" s="7"/>
      <c r="I6" s="5">
        <v>2</v>
      </c>
      <c r="J6" s="20">
        <v>6500</v>
      </c>
      <c r="K6" s="20">
        <v>0</v>
      </c>
      <c r="L6" s="11"/>
      <c r="M6" s="4" t="s">
        <v>15</v>
      </c>
      <c r="N6" s="20">
        <v>18000</v>
      </c>
      <c r="O6" s="11">
        <v>6000</v>
      </c>
      <c r="P6" s="1"/>
      <c r="Q6" s="1"/>
    </row>
    <row r="7" spans="1:17" ht="12.75" x14ac:dyDescent="0.2">
      <c r="A7" s="5">
        <v>3</v>
      </c>
      <c r="B7" s="20">
        <v>0</v>
      </c>
      <c r="C7" s="20">
        <v>0</v>
      </c>
      <c r="D7" s="7"/>
      <c r="E7" s="5">
        <v>3</v>
      </c>
      <c r="F7" s="20">
        <v>33890</v>
      </c>
      <c r="G7" s="20">
        <v>17728</v>
      </c>
      <c r="H7" s="7"/>
      <c r="I7" s="5">
        <v>3</v>
      </c>
      <c r="J7" s="20">
        <v>29000</v>
      </c>
      <c r="K7" s="20">
        <v>0</v>
      </c>
      <c r="L7" s="11"/>
      <c r="M7" s="4" t="s">
        <v>19</v>
      </c>
      <c r="N7" s="20">
        <v>15150</v>
      </c>
      <c r="O7" s="11">
        <v>5000</v>
      </c>
      <c r="P7" s="1"/>
      <c r="Q7" s="1"/>
    </row>
    <row r="8" spans="1:17" ht="12.75" x14ac:dyDescent="0.2">
      <c r="A8" s="5">
        <v>4</v>
      </c>
      <c r="B8" s="19">
        <v>3482</v>
      </c>
      <c r="C8" s="19">
        <v>2356</v>
      </c>
      <c r="D8" s="11"/>
      <c r="E8" s="5">
        <v>4</v>
      </c>
      <c r="F8" s="19">
        <v>46149</v>
      </c>
      <c r="G8" s="19">
        <v>26579</v>
      </c>
      <c r="H8" s="11"/>
      <c r="I8" s="5">
        <v>4</v>
      </c>
      <c r="J8" s="19">
        <v>9600</v>
      </c>
      <c r="K8" s="19">
        <v>0</v>
      </c>
      <c r="L8" s="1"/>
      <c r="M8" s="4" t="s">
        <v>22</v>
      </c>
      <c r="N8" s="20">
        <v>13000</v>
      </c>
      <c r="O8" s="11">
        <v>4000</v>
      </c>
      <c r="P8" s="1"/>
      <c r="Q8" s="1"/>
    </row>
    <row r="9" spans="1:17" ht="12.75" x14ac:dyDescent="0.2">
      <c r="A9" s="5">
        <v>5</v>
      </c>
      <c r="B9" s="19">
        <v>5819</v>
      </c>
      <c r="C9" s="19">
        <v>4529</v>
      </c>
      <c r="D9" s="11"/>
      <c r="E9" s="5">
        <v>5</v>
      </c>
      <c r="F9" s="19">
        <v>45875</v>
      </c>
      <c r="G9" s="19">
        <v>26671</v>
      </c>
      <c r="H9" s="11"/>
      <c r="I9" s="5">
        <v>5</v>
      </c>
      <c r="J9" s="19">
        <v>13700</v>
      </c>
      <c r="K9" s="19">
        <v>0</v>
      </c>
      <c r="L9" s="1"/>
      <c r="M9" s="4"/>
      <c r="N9" s="20"/>
      <c r="O9" s="11"/>
      <c r="P9" s="1"/>
      <c r="Q9" s="1"/>
    </row>
    <row r="10" spans="1:17" ht="12.75" x14ac:dyDescent="0.2">
      <c r="A10" s="5">
        <v>6</v>
      </c>
      <c r="B10" s="19">
        <v>4095</v>
      </c>
      <c r="C10" s="19">
        <v>2436</v>
      </c>
      <c r="D10" s="11"/>
      <c r="E10" s="5">
        <v>6</v>
      </c>
      <c r="F10" s="19">
        <v>31714</v>
      </c>
      <c r="G10" s="19">
        <v>21370</v>
      </c>
      <c r="H10" s="11"/>
      <c r="I10" s="5">
        <v>6</v>
      </c>
      <c r="J10" s="19">
        <v>25100</v>
      </c>
      <c r="K10" s="19">
        <v>0</v>
      </c>
      <c r="L10" s="11"/>
      <c r="M10" s="19"/>
      <c r="N10" s="20"/>
      <c r="O10" s="11"/>
      <c r="P10" s="1"/>
      <c r="Q10" s="1"/>
    </row>
    <row r="11" spans="1:17" ht="12.75" x14ac:dyDescent="0.2">
      <c r="A11" s="5">
        <v>7</v>
      </c>
      <c r="B11" s="19">
        <v>4473</v>
      </c>
      <c r="C11" s="19">
        <v>4123</v>
      </c>
      <c r="D11" s="11"/>
      <c r="E11" s="5">
        <v>7</v>
      </c>
      <c r="F11" s="19">
        <v>47244</v>
      </c>
      <c r="G11" s="19">
        <v>17690</v>
      </c>
      <c r="H11" s="11"/>
      <c r="I11" s="5">
        <v>7</v>
      </c>
      <c r="J11" s="19">
        <v>6800</v>
      </c>
      <c r="K11" s="19">
        <v>0</v>
      </c>
      <c r="L11" s="11"/>
      <c r="M11" s="19" t="s">
        <v>29</v>
      </c>
      <c r="N11" s="20">
        <v>20000</v>
      </c>
      <c r="O11" s="40">
        <v>7000</v>
      </c>
      <c r="P11" s="1"/>
      <c r="Q11" s="1"/>
    </row>
    <row r="12" spans="1:17" ht="12.75" x14ac:dyDescent="0.2">
      <c r="A12" s="5">
        <v>8</v>
      </c>
      <c r="B12" s="19">
        <v>5765</v>
      </c>
      <c r="C12" s="19">
        <v>4239</v>
      </c>
      <c r="D12" s="11"/>
      <c r="E12" s="5">
        <v>8</v>
      </c>
      <c r="F12" s="19">
        <v>58145</v>
      </c>
      <c r="G12" s="19">
        <v>28025</v>
      </c>
      <c r="H12" s="11"/>
      <c r="I12" s="5">
        <v>8</v>
      </c>
      <c r="J12" s="19">
        <v>26600</v>
      </c>
      <c r="K12" s="19">
        <v>0</v>
      </c>
      <c r="L12" s="11"/>
      <c r="M12" s="19" t="s">
        <v>74</v>
      </c>
      <c r="N12" s="20">
        <v>16210</v>
      </c>
      <c r="O12" s="11">
        <v>5000</v>
      </c>
      <c r="P12" s="1"/>
      <c r="Q12" s="1"/>
    </row>
    <row r="13" spans="1:17" ht="12.75" x14ac:dyDescent="0.2">
      <c r="A13" s="5">
        <v>9</v>
      </c>
      <c r="B13" s="19">
        <v>7400</v>
      </c>
      <c r="C13" s="19">
        <v>4328</v>
      </c>
      <c r="D13" s="11"/>
      <c r="E13" s="5">
        <v>9</v>
      </c>
      <c r="F13" s="19">
        <v>70870</v>
      </c>
      <c r="G13" s="19">
        <v>33611</v>
      </c>
      <c r="H13" s="11"/>
      <c r="I13" s="5">
        <v>9</v>
      </c>
      <c r="J13" s="19">
        <v>13600</v>
      </c>
      <c r="K13" s="19">
        <v>0</v>
      </c>
      <c r="L13" s="11"/>
      <c r="M13" s="19" t="s">
        <v>87</v>
      </c>
      <c r="N13" s="19">
        <v>17050</v>
      </c>
      <c r="O13" s="11">
        <v>5000</v>
      </c>
      <c r="P13" s="1"/>
      <c r="Q13" s="1"/>
    </row>
    <row r="14" spans="1:17" ht="12.75" x14ac:dyDescent="0.2">
      <c r="A14" s="5">
        <v>10</v>
      </c>
      <c r="B14" s="19">
        <v>0</v>
      </c>
      <c r="C14" s="19">
        <v>0</v>
      </c>
      <c r="D14" s="11"/>
      <c r="E14" s="5">
        <v>10</v>
      </c>
      <c r="F14" s="19">
        <v>35970</v>
      </c>
      <c r="G14" s="19">
        <v>37724</v>
      </c>
      <c r="H14" s="11"/>
      <c r="I14" s="5">
        <v>10</v>
      </c>
      <c r="J14" s="19">
        <v>18700</v>
      </c>
      <c r="K14" s="19">
        <v>0</v>
      </c>
      <c r="L14" s="1"/>
      <c r="M14" s="19" t="s">
        <v>134</v>
      </c>
      <c r="N14" s="19">
        <v>17000</v>
      </c>
      <c r="O14" s="11">
        <v>6000</v>
      </c>
      <c r="P14" s="1"/>
      <c r="Q14" s="1"/>
    </row>
    <row r="15" spans="1:17" ht="12.75" x14ac:dyDescent="0.2">
      <c r="A15" s="5">
        <v>11</v>
      </c>
      <c r="B15" s="19">
        <v>4651</v>
      </c>
      <c r="C15" s="19">
        <v>3637</v>
      </c>
      <c r="D15" s="11"/>
      <c r="E15" s="5">
        <v>11</v>
      </c>
      <c r="F15" s="19">
        <v>33492</v>
      </c>
      <c r="G15" s="19">
        <v>26359</v>
      </c>
      <c r="H15" s="11"/>
      <c r="I15" s="5">
        <v>11</v>
      </c>
      <c r="J15" s="19">
        <v>7400</v>
      </c>
      <c r="K15" s="19">
        <v>0</v>
      </c>
      <c r="L15" s="1"/>
      <c r="M15" s="12" t="s">
        <v>79</v>
      </c>
      <c r="N15" s="13">
        <f>SUM(N4:N14)</f>
        <v>156410</v>
      </c>
      <c r="O15" s="1"/>
      <c r="P15" s="1"/>
      <c r="Q15" s="1"/>
    </row>
    <row r="16" spans="1:17" ht="12.75" x14ac:dyDescent="0.2">
      <c r="A16" s="5">
        <v>12</v>
      </c>
      <c r="B16" s="19">
        <v>11017</v>
      </c>
      <c r="C16" s="19">
        <v>2628</v>
      </c>
      <c r="D16" s="11"/>
      <c r="E16" s="5">
        <v>12</v>
      </c>
      <c r="F16" s="19">
        <v>29755</v>
      </c>
      <c r="G16" s="19">
        <v>17212</v>
      </c>
      <c r="H16" s="11"/>
      <c r="I16" s="5">
        <v>12</v>
      </c>
      <c r="J16" s="19">
        <v>2600</v>
      </c>
      <c r="K16" s="19">
        <v>0</v>
      </c>
      <c r="L16" s="1"/>
      <c r="M16" s="25"/>
      <c r="N16" s="6"/>
      <c r="O16" s="1"/>
      <c r="P16" s="1"/>
      <c r="Q16" s="1"/>
    </row>
    <row r="17" spans="1:19" ht="12.75" x14ac:dyDescent="0.2">
      <c r="A17" s="5">
        <v>13</v>
      </c>
      <c r="B17" s="19">
        <v>0</v>
      </c>
      <c r="C17" s="19">
        <v>0</v>
      </c>
      <c r="D17" s="11"/>
      <c r="E17" s="5">
        <v>13</v>
      </c>
      <c r="F17" s="19">
        <v>35412</v>
      </c>
      <c r="G17" s="19">
        <v>10540</v>
      </c>
      <c r="H17" s="11"/>
      <c r="I17" s="5">
        <v>13</v>
      </c>
      <c r="J17" s="19">
        <v>44200</v>
      </c>
      <c r="K17" s="19">
        <v>0</v>
      </c>
      <c r="L17" s="1"/>
      <c r="M17" s="78" t="s">
        <v>37</v>
      </c>
      <c r="N17" s="79"/>
      <c r="O17" s="1"/>
      <c r="P17" s="80" t="s">
        <v>38</v>
      </c>
      <c r="Q17" s="79"/>
    </row>
    <row r="18" spans="1:19" ht="12.75" x14ac:dyDescent="0.2">
      <c r="A18" s="5">
        <v>14</v>
      </c>
      <c r="B18" s="19">
        <v>6111</v>
      </c>
      <c r="C18" s="19">
        <v>1649</v>
      </c>
      <c r="D18" s="11"/>
      <c r="E18" s="5">
        <v>14</v>
      </c>
      <c r="F18" s="19">
        <v>49355</v>
      </c>
      <c r="G18" s="19">
        <v>21495</v>
      </c>
      <c r="H18" s="11"/>
      <c r="I18" s="5">
        <v>14</v>
      </c>
      <c r="J18" s="19">
        <v>3600</v>
      </c>
      <c r="K18" s="19">
        <v>0</v>
      </c>
      <c r="L18" s="1"/>
      <c r="M18" s="2" t="s">
        <v>39</v>
      </c>
      <c r="N18" s="3" t="s">
        <v>6</v>
      </c>
      <c r="O18" s="1"/>
      <c r="P18" s="2" t="s">
        <v>5</v>
      </c>
      <c r="Q18" s="3" t="s">
        <v>6</v>
      </c>
    </row>
    <row r="19" spans="1:19" ht="12.75" x14ac:dyDescent="0.2">
      <c r="A19" s="5">
        <v>15</v>
      </c>
      <c r="B19" s="19">
        <v>3675</v>
      </c>
      <c r="C19" s="19">
        <v>1100</v>
      </c>
      <c r="D19" s="11"/>
      <c r="E19" s="5">
        <v>15</v>
      </c>
      <c r="F19" s="19">
        <v>67694</v>
      </c>
      <c r="G19" s="19">
        <v>27706</v>
      </c>
      <c r="H19" s="11"/>
      <c r="I19" s="5">
        <v>15</v>
      </c>
      <c r="J19" s="19">
        <v>5900</v>
      </c>
      <c r="K19" s="19">
        <v>0</v>
      </c>
      <c r="L19" s="1"/>
      <c r="M19" s="4" t="s">
        <v>41</v>
      </c>
      <c r="N19" s="20">
        <v>100000</v>
      </c>
      <c r="O19" s="1"/>
      <c r="P19" s="4" t="s">
        <v>42</v>
      </c>
      <c r="Q19" s="5">
        <f>B35+F35+J35</f>
        <v>1907379</v>
      </c>
      <c r="S19" s="42">
        <f>Q21/Q19</f>
        <v>0.27858910054058478</v>
      </c>
    </row>
    <row r="20" spans="1:19" ht="12.75" x14ac:dyDescent="0.2">
      <c r="A20" s="5">
        <v>16</v>
      </c>
      <c r="B20" s="19">
        <v>8480</v>
      </c>
      <c r="C20" s="19">
        <v>1320</v>
      </c>
      <c r="D20" s="11"/>
      <c r="E20" s="5">
        <v>16</v>
      </c>
      <c r="F20" s="19">
        <v>77701</v>
      </c>
      <c r="G20" s="19">
        <v>36569</v>
      </c>
      <c r="H20" s="11"/>
      <c r="I20" s="5">
        <v>16</v>
      </c>
      <c r="J20" s="19">
        <v>9500</v>
      </c>
      <c r="K20" s="19">
        <v>0</v>
      </c>
      <c r="L20" s="11"/>
      <c r="M20" s="4" t="s">
        <v>43</v>
      </c>
      <c r="N20" s="19">
        <v>74177</v>
      </c>
      <c r="O20" s="1"/>
      <c r="P20" s="4" t="s">
        <v>44</v>
      </c>
      <c r="Q20" s="5">
        <f>C35+G35+K35+N15+N30+N55</f>
        <v>1376004</v>
      </c>
    </row>
    <row r="21" spans="1:19" ht="12.75" x14ac:dyDescent="0.2">
      <c r="A21" s="5">
        <v>17</v>
      </c>
      <c r="B21" s="19">
        <v>0</v>
      </c>
      <c r="C21" s="19">
        <v>0</v>
      </c>
      <c r="D21" s="11"/>
      <c r="E21" s="5">
        <v>17</v>
      </c>
      <c r="F21" s="19">
        <v>50900</v>
      </c>
      <c r="G21" s="19">
        <v>37735</v>
      </c>
      <c r="H21" s="11"/>
      <c r="I21" s="5">
        <v>17</v>
      </c>
      <c r="J21" s="19">
        <v>10400</v>
      </c>
      <c r="K21" s="19">
        <v>0</v>
      </c>
      <c r="L21" s="1"/>
      <c r="M21" s="4" t="s">
        <v>46</v>
      </c>
      <c r="N21" s="20">
        <v>3000</v>
      </c>
      <c r="O21" s="1"/>
      <c r="P21" s="26" t="s">
        <v>47</v>
      </c>
      <c r="Q21" s="27">
        <f>Q19-Q20</f>
        <v>531375</v>
      </c>
    </row>
    <row r="22" spans="1:19" ht="12.75" x14ac:dyDescent="0.2">
      <c r="A22" s="5">
        <v>18</v>
      </c>
      <c r="B22" s="19">
        <v>9185</v>
      </c>
      <c r="C22" s="19">
        <v>6984</v>
      </c>
      <c r="D22" s="11"/>
      <c r="E22" s="5">
        <v>18</v>
      </c>
      <c r="F22" s="19">
        <v>37773</v>
      </c>
      <c r="G22" s="19">
        <v>30515</v>
      </c>
      <c r="H22" s="11"/>
      <c r="I22" s="5">
        <v>18</v>
      </c>
      <c r="J22" s="19">
        <v>5000</v>
      </c>
      <c r="K22" s="19">
        <v>0</v>
      </c>
      <c r="L22" s="1"/>
      <c r="M22" s="70" t="s">
        <v>166</v>
      </c>
      <c r="N22" s="19">
        <v>38064</v>
      </c>
      <c r="O22" s="1"/>
      <c r="P22" s="4" t="s">
        <v>49</v>
      </c>
      <c r="Q22" s="20">
        <v>35000</v>
      </c>
    </row>
    <row r="23" spans="1:19" ht="12.75" x14ac:dyDescent="0.2">
      <c r="A23" s="5">
        <v>19</v>
      </c>
      <c r="B23" s="20">
        <v>1680</v>
      </c>
      <c r="C23" s="67">
        <v>1348</v>
      </c>
      <c r="D23" s="11"/>
      <c r="E23" s="5">
        <v>19</v>
      </c>
      <c r="F23" s="19">
        <v>59230</v>
      </c>
      <c r="G23" s="19">
        <v>31588</v>
      </c>
      <c r="H23" s="11"/>
      <c r="I23" s="5">
        <v>19</v>
      </c>
      <c r="J23" s="19">
        <v>2000</v>
      </c>
      <c r="K23" s="19">
        <v>0</v>
      </c>
      <c r="L23" s="1"/>
      <c r="M23" s="4" t="s">
        <v>50</v>
      </c>
      <c r="N23" s="20">
        <v>2490</v>
      </c>
      <c r="O23" s="1"/>
      <c r="P23" s="11" t="s">
        <v>133</v>
      </c>
      <c r="Q23" s="1">
        <f>C35+G35+K35</f>
        <v>876013</v>
      </c>
    </row>
    <row r="24" spans="1:19" ht="12.75" x14ac:dyDescent="0.2">
      <c r="A24" s="5">
        <v>20</v>
      </c>
      <c r="B24" s="19">
        <v>7671</v>
      </c>
      <c r="C24" s="19">
        <v>2884</v>
      </c>
      <c r="D24" s="11"/>
      <c r="E24" s="5">
        <v>20</v>
      </c>
      <c r="F24" s="19">
        <v>47501</v>
      </c>
      <c r="G24" s="19">
        <v>21023</v>
      </c>
      <c r="H24" s="11"/>
      <c r="I24" s="5">
        <v>20</v>
      </c>
      <c r="J24" s="19">
        <v>8700</v>
      </c>
      <c r="K24" s="19">
        <v>0</v>
      </c>
      <c r="L24" s="1"/>
      <c r="M24" s="4" t="s">
        <v>51</v>
      </c>
      <c r="N24" s="20">
        <v>5000</v>
      </c>
      <c r="O24" s="1"/>
      <c r="P24" s="1"/>
      <c r="Q24" s="1"/>
    </row>
    <row r="25" spans="1:19" ht="12.75" x14ac:dyDescent="0.2">
      <c r="A25" s="5">
        <v>21</v>
      </c>
      <c r="B25" s="19">
        <v>5331</v>
      </c>
      <c r="C25" s="19">
        <v>4048</v>
      </c>
      <c r="D25" s="11"/>
      <c r="E25" s="5">
        <v>21</v>
      </c>
      <c r="F25" s="19">
        <v>49536</v>
      </c>
      <c r="G25" s="19">
        <v>21271</v>
      </c>
      <c r="H25" s="11"/>
      <c r="I25" s="5">
        <v>21</v>
      </c>
      <c r="J25" s="19">
        <v>7300</v>
      </c>
      <c r="K25" s="19">
        <v>0</v>
      </c>
      <c r="L25" s="11"/>
      <c r="M25" s="71" t="s">
        <v>169</v>
      </c>
      <c r="N25" s="19">
        <v>8400</v>
      </c>
      <c r="O25" s="1"/>
      <c r="P25" s="1"/>
      <c r="Q25" s="1"/>
    </row>
    <row r="26" spans="1:19" ht="12.75" x14ac:dyDescent="0.2">
      <c r="A26" s="5">
        <v>22</v>
      </c>
      <c r="B26" s="19">
        <v>7452</v>
      </c>
      <c r="C26" s="19">
        <v>6973</v>
      </c>
      <c r="D26" s="11"/>
      <c r="E26" s="5">
        <v>22</v>
      </c>
      <c r="F26" s="19">
        <v>46221</v>
      </c>
      <c r="G26" s="19">
        <v>25790</v>
      </c>
      <c r="H26" s="11"/>
      <c r="I26" s="5">
        <v>22</v>
      </c>
      <c r="J26" s="19">
        <v>11700</v>
      </c>
      <c r="K26" s="19">
        <v>0</v>
      </c>
      <c r="L26" s="1"/>
      <c r="M26" s="19"/>
      <c r="N26" s="19"/>
      <c r="O26" s="1"/>
      <c r="P26" s="1"/>
      <c r="Q26" s="1"/>
    </row>
    <row r="27" spans="1:19" ht="15.75" customHeight="1" x14ac:dyDescent="0.4">
      <c r="A27" s="5">
        <v>23</v>
      </c>
      <c r="B27" s="19">
        <v>8589</v>
      </c>
      <c r="C27" s="19">
        <v>6879</v>
      </c>
      <c r="D27" s="11"/>
      <c r="E27" s="5">
        <v>23</v>
      </c>
      <c r="F27" s="19">
        <v>58351</v>
      </c>
      <c r="G27" s="19">
        <v>25810</v>
      </c>
      <c r="H27" s="11"/>
      <c r="I27" s="5">
        <v>23</v>
      </c>
      <c r="J27" s="19">
        <v>5300</v>
      </c>
      <c r="K27" s="19">
        <v>0</v>
      </c>
      <c r="L27" s="1"/>
      <c r="M27" s="19"/>
      <c r="N27" s="19"/>
      <c r="O27" s="1"/>
      <c r="P27" s="19" t="s">
        <v>139</v>
      </c>
      <c r="Q27" s="63">
        <f>(N15+N55)-Z17</f>
        <v>268860</v>
      </c>
    </row>
    <row r="28" spans="1:19" ht="15.75" customHeight="1" x14ac:dyDescent="0.4">
      <c r="A28" s="5">
        <v>24</v>
      </c>
      <c r="B28" s="19">
        <v>0</v>
      </c>
      <c r="C28" s="19">
        <v>0</v>
      </c>
      <c r="D28" s="11"/>
      <c r="E28" s="5">
        <v>24</v>
      </c>
      <c r="F28" s="19">
        <v>32830</v>
      </c>
      <c r="G28" s="19">
        <v>31045</v>
      </c>
      <c r="H28" s="11"/>
      <c r="I28" s="5">
        <v>24</v>
      </c>
      <c r="J28" s="19">
        <v>5000</v>
      </c>
      <c r="K28" s="19">
        <v>0</v>
      </c>
      <c r="L28" s="1"/>
      <c r="M28" s="4"/>
      <c r="N28" s="4"/>
      <c r="O28" s="1"/>
      <c r="P28" s="19" t="s">
        <v>140</v>
      </c>
      <c r="Q28" s="64">
        <f>O45</f>
        <v>91000</v>
      </c>
    </row>
    <row r="29" spans="1:19" ht="12.75" x14ac:dyDescent="0.2">
      <c r="A29" s="5">
        <v>25</v>
      </c>
      <c r="B29" s="19">
        <v>1990</v>
      </c>
      <c r="C29" s="19">
        <v>1816</v>
      </c>
      <c r="D29" s="11"/>
      <c r="E29" s="5">
        <v>25</v>
      </c>
      <c r="F29" s="19">
        <v>36699</v>
      </c>
      <c r="G29" s="19">
        <v>20371</v>
      </c>
      <c r="H29" s="11"/>
      <c r="I29" s="5">
        <v>25</v>
      </c>
      <c r="J29" s="19">
        <v>3500</v>
      </c>
      <c r="K29" s="19">
        <v>0</v>
      </c>
      <c r="L29" s="1"/>
      <c r="M29" s="4"/>
      <c r="N29" s="4"/>
      <c r="O29" s="1"/>
      <c r="P29" s="19" t="s">
        <v>141</v>
      </c>
      <c r="Q29" s="4">
        <f>Q27-Q28</f>
        <v>177860</v>
      </c>
    </row>
    <row r="30" spans="1:19" ht="12.75" x14ac:dyDescent="0.2">
      <c r="A30" s="5">
        <v>26</v>
      </c>
      <c r="B30" s="19">
        <v>3790</v>
      </c>
      <c r="C30" s="19">
        <v>3367</v>
      </c>
      <c r="D30" s="11"/>
      <c r="E30" s="5">
        <v>26</v>
      </c>
      <c r="F30" s="19">
        <v>37300</v>
      </c>
      <c r="G30" s="19">
        <v>18221</v>
      </c>
      <c r="H30" s="11"/>
      <c r="I30" s="5">
        <v>26</v>
      </c>
      <c r="J30" s="19">
        <v>2700</v>
      </c>
      <c r="K30" s="19">
        <v>0</v>
      </c>
      <c r="L30" s="1"/>
      <c r="M30" s="12" t="s">
        <v>36</v>
      </c>
      <c r="N30" s="13">
        <f>SUM(N19:N29)</f>
        <v>231131</v>
      </c>
      <c r="O30" s="1"/>
      <c r="P30" s="1"/>
      <c r="Q30" s="11"/>
    </row>
    <row r="31" spans="1:19" ht="12.75" x14ac:dyDescent="0.2">
      <c r="A31" s="5">
        <v>27</v>
      </c>
      <c r="B31" s="19">
        <v>2933</v>
      </c>
      <c r="C31" s="19">
        <v>793</v>
      </c>
      <c r="D31" s="11"/>
      <c r="E31" s="5">
        <v>27</v>
      </c>
      <c r="F31" s="19">
        <v>48025</v>
      </c>
      <c r="G31" s="19">
        <v>17746</v>
      </c>
      <c r="H31" s="11"/>
      <c r="I31" s="5">
        <v>27</v>
      </c>
      <c r="J31" s="19">
        <v>8500</v>
      </c>
      <c r="K31" s="19">
        <v>0</v>
      </c>
      <c r="L31" s="1"/>
      <c r="M31" s="1"/>
      <c r="N31" s="1"/>
      <c r="O31" s="1"/>
      <c r="P31" s="1"/>
      <c r="Q31" s="1"/>
    </row>
    <row r="32" spans="1:19" ht="12.75" x14ac:dyDescent="0.2">
      <c r="A32" s="5">
        <v>28</v>
      </c>
      <c r="B32" s="19">
        <v>10653</v>
      </c>
      <c r="C32" s="19">
        <v>5114</v>
      </c>
      <c r="D32" s="11"/>
      <c r="E32" s="5">
        <v>28</v>
      </c>
      <c r="F32" s="19">
        <v>49531</v>
      </c>
      <c r="G32" s="19">
        <v>18513</v>
      </c>
      <c r="H32" s="1"/>
      <c r="I32" s="5">
        <v>28</v>
      </c>
      <c r="J32" s="19">
        <v>20300</v>
      </c>
      <c r="K32" s="19">
        <v>0</v>
      </c>
      <c r="L32" s="1"/>
      <c r="M32" s="81" t="s">
        <v>53</v>
      </c>
      <c r="N32" s="79"/>
      <c r="O32" s="1"/>
      <c r="P32" s="1"/>
      <c r="Q32" s="1"/>
    </row>
    <row r="33" spans="1:17" ht="12.75" x14ac:dyDescent="0.2">
      <c r="A33" s="5">
        <v>29</v>
      </c>
      <c r="B33" s="19">
        <v>10655</v>
      </c>
      <c r="C33" s="19">
        <v>10033</v>
      </c>
      <c r="D33" s="11"/>
      <c r="E33" s="5">
        <v>29</v>
      </c>
      <c r="F33" s="19">
        <v>47785</v>
      </c>
      <c r="G33" s="19">
        <v>34460</v>
      </c>
      <c r="H33" s="1"/>
      <c r="I33" s="5">
        <v>29</v>
      </c>
      <c r="J33" s="19">
        <v>10600</v>
      </c>
      <c r="K33" s="19">
        <v>0</v>
      </c>
      <c r="L33" s="1"/>
      <c r="M33" s="2" t="s">
        <v>39</v>
      </c>
      <c r="N33" s="3" t="s">
        <v>6</v>
      </c>
      <c r="O33" s="1"/>
      <c r="P33" s="1"/>
      <c r="Q33" s="1"/>
    </row>
    <row r="34" spans="1:17" ht="12.75" x14ac:dyDescent="0.2">
      <c r="A34" s="5">
        <v>30</v>
      </c>
      <c r="B34" s="19">
        <v>11509</v>
      </c>
      <c r="C34" s="19">
        <v>8288</v>
      </c>
      <c r="D34" s="11"/>
      <c r="E34" s="5">
        <v>30</v>
      </c>
      <c r="F34" s="19">
        <v>49263</v>
      </c>
      <c r="G34" s="19">
        <v>27493</v>
      </c>
      <c r="H34" s="1"/>
      <c r="I34" s="5">
        <v>30</v>
      </c>
      <c r="J34" s="19">
        <v>1800</v>
      </c>
      <c r="K34" s="19">
        <v>0</v>
      </c>
      <c r="L34" s="11"/>
      <c r="M34" s="19"/>
      <c r="N34" s="19"/>
      <c r="O34" s="11"/>
      <c r="P34" s="1"/>
      <c r="Q34" s="1"/>
    </row>
    <row r="35" spans="1:17" ht="12.75" x14ac:dyDescent="0.2">
      <c r="A35" s="12" t="s">
        <v>36</v>
      </c>
      <c r="B35" s="13">
        <f t="shared" ref="B35:C35" si="0">SUM(B5:B34)+B37</f>
        <v>167568</v>
      </c>
      <c r="C35" s="13">
        <f t="shared" si="0"/>
        <v>107804</v>
      </c>
      <c r="D35" s="1"/>
      <c r="E35" s="12" t="s">
        <v>36</v>
      </c>
      <c r="F35" s="13">
        <f t="shared" ref="F35:G35" si="1">SUM(F5:F34)+F37</f>
        <v>1409611</v>
      </c>
      <c r="G35" s="13">
        <f t="shared" si="1"/>
        <v>768209</v>
      </c>
      <c r="H35" s="1"/>
      <c r="I35" s="12" t="s">
        <v>36</v>
      </c>
      <c r="J35" s="13">
        <f t="shared" ref="J35:K35" si="2">SUM(J5:J34)+J37</f>
        <v>330200</v>
      </c>
      <c r="K35" s="13">
        <f t="shared" si="2"/>
        <v>0</v>
      </c>
      <c r="L35" s="11"/>
      <c r="M35" s="19" t="s">
        <v>102</v>
      </c>
      <c r="N35" s="19">
        <v>25000</v>
      </c>
      <c r="O35" s="11">
        <v>9000</v>
      </c>
      <c r="P35" s="1"/>
      <c r="Q35" s="1"/>
    </row>
    <row r="36" spans="1:17" ht="12.75" x14ac:dyDescent="0.2">
      <c r="A36" s="3" t="s">
        <v>56</v>
      </c>
      <c r="B36" s="82">
        <f>B35-C35</f>
        <v>59764</v>
      </c>
      <c r="C36" s="79"/>
      <c r="D36" s="1"/>
      <c r="E36" s="3" t="s">
        <v>56</v>
      </c>
      <c r="F36" s="82">
        <f>F35-G35</f>
        <v>641402</v>
      </c>
      <c r="G36" s="79"/>
      <c r="H36" s="1"/>
      <c r="I36" s="3" t="s">
        <v>56</v>
      </c>
      <c r="J36" s="82">
        <f>J35-K35</f>
        <v>330200</v>
      </c>
      <c r="K36" s="79"/>
      <c r="M36" s="19" t="s">
        <v>112</v>
      </c>
      <c r="N36" s="19">
        <v>13000</v>
      </c>
      <c r="O36" s="11">
        <v>4000</v>
      </c>
      <c r="P36" s="1"/>
      <c r="Q36" s="1"/>
    </row>
    <row r="37" spans="1:17" ht="12.75" x14ac:dyDescent="0.2">
      <c r="A37" s="5">
        <v>31</v>
      </c>
      <c r="B37" s="19"/>
      <c r="C37" s="19"/>
      <c r="D37" s="11"/>
      <c r="E37" s="5">
        <v>31</v>
      </c>
      <c r="F37" s="19"/>
      <c r="G37" s="19"/>
      <c r="H37" s="1"/>
      <c r="I37" s="5">
        <v>31</v>
      </c>
      <c r="J37" s="19"/>
      <c r="K37" s="19"/>
      <c r="L37" s="60"/>
      <c r="M37" s="19" t="s">
        <v>142</v>
      </c>
      <c r="N37" s="19">
        <v>14000</v>
      </c>
      <c r="O37" s="11">
        <v>5000</v>
      </c>
      <c r="P37" s="1"/>
      <c r="Q37" s="1"/>
    </row>
    <row r="38" spans="1:17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4" t="s">
        <v>144</v>
      </c>
      <c r="N38" s="54">
        <v>11000</v>
      </c>
      <c r="O38" s="11">
        <v>4000</v>
      </c>
      <c r="P38" s="1">
        <f>C47-C48-Z17-N26-N27</f>
        <v>1031366</v>
      </c>
      <c r="Q38" s="1"/>
    </row>
    <row r="39" spans="1:17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1"/>
      <c r="M39" s="19"/>
      <c r="N39" s="19"/>
      <c r="O39" s="11"/>
      <c r="P39" s="1"/>
      <c r="Q39" s="1"/>
    </row>
    <row r="40" spans="1:1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1"/>
      <c r="M40" s="19" t="s">
        <v>149</v>
      </c>
      <c r="N40" s="19">
        <v>11300</v>
      </c>
      <c r="O40" s="11">
        <v>4000</v>
      </c>
      <c r="P40" s="1"/>
      <c r="Q40" s="1"/>
    </row>
    <row r="41" spans="1:17" ht="12.75" x14ac:dyDescent="0.2">
      <c r="A41" s="1"/>
      <c r="B41" s="1"/>
      <c r="C41" s="1"/>
      <c r="D41" s="1"/>
      <c r="E41" s="1"/>
      <c r="F41" s="1"/>
      <c r="G41" s="83" t="s">
        <v>130</v>
      </c>
      <c r="H41" s="79"/>
      <c r="I41" s="1"/>
      <c r="J41" s="1"/>
      <c r="K41" s="1"/>
      <c r="L41" s="1"/>
      <c r="M41" s="19" t="s">
        <v>150</v>
      </c>
      <c r="N41" s="19">
        <v>13150</v>
      </c>
      <c r="O41" s="11">
        <v>4000</v>
      </c>
      <c r="P41" s="1"/>
      <c r="Q41" s="1"/>
    </row>
    <row r="42" spans="1:17" ht="12.75" x14ac:dyDescent="0.2">
      <c r="A42" s="1"/>
      <c r="B42" s="1"/>
      <c r="C42" s="1"/>
      <c r="D42" s="1"/>
      <c r="E42" s="1"/>
      <c r="F42" s="1"/>
      <c r="G42" s="19" t="s">
        <v>106</v>
      </c>
      <c r="H42" s="19" t="s">
        <v>131</v>
      </c>
      <c r="I42" s="1"/>
      <c r="J42" s="1"/>
      <c r="K42" s="1"/>
      <c r="L42" s="11"/>
      <c r="M42" s="19"/>
      <c r="N42" s="19"/>
      <c r="O42" s="1"/>
      <c r="P42" s="1"/>
      <c r="Q42" s="1"/>
    </row>
    <row r="43" spans="1:17" ht="12.75" x14ac:dyDescent="0.2">
      <c r="A43" s="1"/>
      <c r="B43" s="1"/>
      <c r="C43" s="1"/>
      <c r="D43" s="1"/>
      <c r="E43" s="1"/>
      <c r="F43" s="1"/>
      <c r="G43" s="62"/>
      <c r="H43" s="19"/>
      <c r="I43" s="1"/>
      <c r="J43" s="1"/>
      <c r="K43" s="1"/>
      <c r="L43" s="1"/>
      <c r="M43" s="19" t="s">
        <v>157</v>
      </c>
      <c r="N43" s="19">
        <v>14000</v>
      </c>
      <c r="O43" s="11">
        <v>5000</v>
      </c>
      <c r="P43" s="1"/>
      <c r="Q43" s="1"/>
    </row>
    <row r="44" spans="1:17" ht="12.75" x14ac:dyDescent="0.2">
      <c r="A44" s="1"/>
      <c r="B44" s="1"/>
      <c r="C44" s="1"/>
      <c r="D44" s="1"/>
      <c r="E44" s="1"/>
      <c r="F44" s="1"/>
      <c r="G44" s="62"/>
      <c r="H44" s="19"/>
      <c r="I44" s="1"/>
      <c r="J44" s="1"/>
      <c r="K44" s="1"/>
      <c r="L44" s="1"/>
      <c r="M44" s="19" t="s">
        <v>162</v>
      </c>
      <c r="N44" s="19">
        <v>11000</v>
      </c>
      <c r="O44" s="11">
        <v>4000</v>
      </c>
      <c r="P44" s="1"/>
      <c r="Q44" s="1"/>
    </row>
    <row r="45" spans="1:17" ht="12.75" x14ac:dyDescent="0.2">
      <c r="A45" s="1"/>
      <c r="B45" s="1"/>
      <c r="C45" s="1"/>
      <c r="D45" s="1"/>
      <c r="E45" s="1"/>
      <c r="F45" s="1"/>
      <c r="G45" s="62"/>
      <c r="H45" s="19"/>
      <c r="I45" s="1"/>
      <c r="J45" s="1"/>
      <c r="K45" s="1"/>
      <c r="L45" s="1"/>
      <c r="M45" s="4"/>
      <c r="N45" s="4"/>
      <c r="O45" s="1">
        <f>SUM(O4:O44)</f>
        <v>91000</v>
      </c>
      <c r="P45" s="1"/>
      <c r="Q45" s="1"/>
    </row>
    <row r="46" spans="1:17" ht="12.75" x14ac:dyDescent="0.2">
      <c r="A46" s="1"/>
      <c r="B46" s="1"/>
      <c r="C46" s="1"/>
      <c r="D46" s="1"/>
      <c r="E46" s="1"/>
      <c r="F46" s="1"/>
      <c r="G46" s="62"/>
      <c r="H46" s="19"/>
      <c r="I46" s="1"/>
      <c r="J46" s="1"/>
      <c r="K46" s="1"/>
      <c r="L46" s="1"/>
      <c r="M46" s="4"/>
      <c r="N46" s="4"/>
      <c r="O46" s="1"/>
      <c r="P46" s="1"/>
      <c r="Q46" s="1"/>
    </row>
    <row r="47" spans="1:17" ht="12.75" x14ac:dyDescent="0.2">
      <c r="A47" s="1"/>
      <c r="B47" s="1"/>
      <c r="C47" s="1">
        <f>(B35+F35+J35)</f>
        <v>1907379</v>
      </c>
      <c r="D47" s="1"/>
      <c r="E47" s="1"/>
      <c r="F47" s="1"/>
      <c r="G47" s="62"/>
      <c r="H47" s="19"/>
      <c r="I47" s="1"/>
      <c r="J47" s="1"/>
      <c r="K47" s="1"/>
      <c r="L47" s="1"/>
      <c r="M47" s="4"/>
      <c r="N47" s="4"/>
      <c r="O47" s="1"/>
      <c r="P47" s="1"/>
      <c r="Q47" s="1"/>
    </row>
    <row r="48" spans="1:17" ht="12.75" x14ac:dyDescent="0.2">
      <c r="A48" s="1"/>
      <c r="B48" s="1"/>
      <c r="C48" s="42">
        <f>C35+G35</f>
        <v>876013</v>
      </c>
      <c r="D48" s="1"/>
      <c r="E48" s="1"/>
      <c r="F48" s="1"/>
      <c r="G48" s="62"/>
      <c r="H48" s="19"/>
      <c r="I48" s="1"/>
      <c r="J48" s="1"/>
      <c r="K48" s="1"/>
      <c r="L48" s="1"/>
      <c r="M48" s="4"/>
      <c r="N48" s="4"/>
      <c r="O48" s="1"/>
      <c r="P48" s="11">
        <v>105100</v>
      </c>
      <c r="Q48" s="1"/>
    </row>
    <row r="49" spans="1:17" ht="12.75" x14ac:dyDescent="0.2">
      <c r="A49" s="1"/>
      <c r="B49" s="1"/>
      <c r="C49" s="1">
        <f>C48/C47</f>
        <v>0.45927579154431292</v>
      </c>
      <c r="D49" s="1"/>
      <c r="E49" s="1"/>
      <c r="F49" s="1"/>
      <c r="G49" s="62"/>
      <c r="H49" s="19"/>
      <c r="I49" s="1"/>
      <c r="J49" s="1"/>
      <c r="K49" s="1"/>
      <c r="L49" s="1"/>
      <c r="M49" s="4"/>
      <c r="N49" s="4"/>
      <c r="O49" s="1"/>
      <c r="P49" s="1"/>
      <c r="Q49" s="1"/>
    </row>
    <row r="50" spans="1:17" ht="12.75" x14ac:dyDescent="0.2">
      <c r="A50" s="1"/>
      <c r="B50" s="1"/>
      <c r="C50" s="1"/>
      <c r="D50" s="1"/>
      <c r="E50" s="1"/>
      <c r="F50" s="1"/>
      <c r="G50" s="21"/>
      <c r="H50" s="19"/>
      <c r="I50" s="1"/>
      <c r="J50" s="1"/>
      <c r="K50" s="1"/>
      <c r="L50" s="1"/>
      <c r="M50" s="4"/>
      <c r="N50" s="4"/>
      <c r="O50" s="1"/>
      <c r="P50" s="1"/>
      <c r="Q50" s="1"/>
    </row>
    <row r="51" spans="1:17" ht="12.75" x14ac:dyDescent="0.2">
      <c r="A51" s="1"/>
      <c r="B51" s="1"/>
      <c r="C51" s="1"/>
      <c r="D51" s="1"/>
      <c r="E51" s="1"/>
      <c r="F51" s="1"/>
      <c r="G51" s="4"/>
      <c r="H51" s="4"/>
      <c r="I51" s="1"/>
      <c r="J51" s="1"/>
      <c r="K51" s="1"/>
      <c r="L51" s="1"/>
      <c r="M51" s="4"/>
      <c r="N51" s="4"/>
      <c r="O51" s="1"/>
      <c r="P51" s="1"/>
      <c r="Q51" s="1"/>
    </row>
    <row r="52" spans="1:1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4"/>
      <c r="O52" s="1"/>
      <c r="P52" s="1"/>
      <c r="Q52" s="1"/>
    </row>
    <row r="53" spans="1:1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4"/>
      <c r="O53" s="1"/>
      <c r="P53" s="1"/>
      <c r="Q53" s="1"/>
    </row>
    <row r="54" spans="1:1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4"/>
      <c r="O54" s="1"/>
      <c r="P54" s="1"/>
      <c r="Q54" s="1"/>
    </row>
    <row r="55" spans="1:1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 t="s">
        <v>36</v>
      </c>
      <c r="N55" s="5">
        <f>SUM(N34:N54)</f>
        <v>112450</v>
      </c>
      <c r="O55" s="1"/>
      <c r="P55" s="1"/>
      <c r="Q55" s="1"/>
    </row>
  </sheetData>
  <mergeCells count="12">
    <mergeCell ref="M17:N17"/>
    <mergeCell ref="P17:Q17"/>
    <mergeCell ref="A1:P1"/>
    <mergeCell ref="M2:N2"/>
    <mergeCell ref="A3:C3"/>
    <mergeCell ref="E3:G3"/>
    <mergeCell ref="I3:K3"/>
    <mergeCell ref="M32:N32"/>
    <mergeCell ref="B36:C36"/>
    <mergeCell ref="F36:G36"/>
    <mergeCell ref="J36:K36"/>
    <mergeCell ref="G41:H41"/>
  </mergeCells>
  <hyperlinks>
    <hyperlink ref="M22" r:id="rId1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55"/>
  <sheetViews>
    <sheetView topLeftCell="A10" workbookViewId="0">
      <selection activeCell="R29" sqref="R29"/>
    </sheetView>
  </sheetViews>
  <sheetFormatPr defaultColWidth="12.5703125" defaultRowHeight="15.75" customHeight="1" x14ac:dyDescent="0.2"/>
  <cols>
    <col min="1" max="2" width="6.42578125" customWidth="1"/>
    <col min="3" max="3" width="6.5703125" customWidth="1"/>
    <col min="4" max="4" width="12.42578125" customWidth="1"/>
    <col min="5" max="5" width="6.7109375" customWidth="1"/>
    <col min="6" max="6" width="6.42578125" customWidth="1"/>
    <col min="7" max="7" width="6.5703125" customWidth="1"/>
    <col min="8" max="8" width="6.42578125" customWidth="1"/>
    <col min="9" max="9" width="5.42578125" customWidth="1"/>
    <col min="10" max="10" width="6.42578125" customWidth="1"/>
    <col min="11" max="11" width="6.5703125" customWidth="1"/>
    <col min="12" max="12" width="9.140625" customWidth="1"/>
    <col min="13" max="13" width="13.140625" customWidth="1"/>
    <col min="14" max="14" width="6.7109375" customWidth="1"/>
    <col min="15" max="15" width="11.140625" customWidth="1"/>
    <col min="16" max="16" width="13.42578125" customWidth="1"/>
    <col min="17" max="17" width="8" customWidth="1"/>
    <col min="18" max="18" width="6.7109375" customWidth="1"/>
    <col min="19" max="19" width="6.140625" customWidth="1"/>
  </cols>
  <sheetData>
    <row r="1" spans="1:22" x14ac:dyDescent="0.2">
      <c r="A1" s="80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79"/>
      <c r="Q1" s="1"/>
      <c r="R1" s="1"/>
    </row>
    <row r="2" spans="1:2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5" t="s">
        <v>1</v>
      </c>
      <c r="N2" s="79"/>
      <c r="O2" s="1"/>
      <c r="P2" s="1"/>
      <c r="Q2" s="1"/>
      <c r="R2" s="1"/>
    </row>
    <row r="3" spans="1:22" x14ac:dyDescent="0.2">
      <c r="A3" s="86" t="s">
        <v>2</v>
      </c>
      <c r="B3" s="84"/>
      <c r="C3" s="79"/>
      <c r="D3" s="1" t="s">
        <v>68</v>
      </c>
      <c r="E3" s="87" t="s">
        <v>3</v>
      </c>
      <c r="F3" s="84"/>
      <c r="G3" s="79"/>
      <c r="H3" s="1" t="s">
        <v>68</v>
      </c>
      <c r="I3" s="88" t="s">
        <v>4</v>
      </c>
      <c r="J3" s="84"/>
      <c r="K3" s="79"/>
      <c r="L3" s="1"/>
      <c r="M3" s="2" t="s">
        <v>5</v>
      </c>
      <c r="N3" s="3" t="s">
        <v>6</v>
      </c>
      <c r="O3" s="1"/>
      <c r="P3" s="1"/>
      <c r="Q3" s="1"/>
      <c r="R3" s="1"/>
    </row>
    <row r="4" spans="1:22" x14ac:dyDescent="0.2">
      <c r="A4" s="4" t="s">
        <v>7</v>
      </c>
      <c r="B4" s="4" t="s">
        <v>8</v>
      </c>
      <c r="C4" s="4" t="s">
        <v>9</v>
      </c>
      <c r="D4" s="1"/>
      <c r="E4" s="4" t="s">
        <v>7</v>
      </c>
      <c r="F4" s="4" t="s">
        <v>8</v>
      </c>
      <c r="G4" s="4" t="s">
        <v>9</v>
      </c>
      <c r="H4" s="1"/>
      <c r="I4" s="4" t="s">
        <v>7</v>
      </c>
      <c r="J4" s="4" t="s">
        <v>8</v>
      </c>
      <c r="K4" s="4" t="s">
        <v>9</v>
      </c>
      <c r="L4" s="1"/>
      <c r="M4" s="16" t="s">
        <v>69</v>
      </c>
      <c r="N4" s="16">
        <v>6000</v>
      </c>
      <c r="O4" s="11" t="s">
        <v>70</v>
      </c>
      <c r="P4" s="83" t="s">
        <v>11</v>
      </c>
      <c r="Q4" s="84"/>
      <c r="R4" s="79"/>
      <c r="T4" s="83" t="s">
        <v>11</v>
      </c>
      <c r="U4" s="84"/>
      <c r="V4" s="79"/>
    </row>
    <row r="5" spans="1:22" x14ac:dyDescent="0.2">
      <c r="A5" s="5">
        <v>1</v>
      </c>
      <c r="B5" s="5">
        <v>0</v>
      </c>
      <c r="C5" s="5">
        <v>0</v>
      </c>
      <c r="D5" s="1" t="s">
        <v>21</v>
      </c>
      <c r="E5" s="5">
        <v>1</v>
      </c>
      <c r="F5" s="5">
        <v>2770</v>
      </c>
      <c r="G5" s="5">
        <v>0</v>
      </c>
      <c r="H5" s="7">
        <v>2007</v>
      </c>
      <c r="I5" s="5">
        <v>1</v>
      </c>
      <c r="J5" s="5">
        <v>700</v>
      </c>
      <c r="K5" s="5">
        <v>0</v>
      </c>
      <c r="L5" s="1"/>
      <c r="M5" s="4" t="s">
        <v>12</v>
      </c>
      <c r="N5" s="5">
        <v>15000</v>
      </c>
      <c r="O5" s="1"/>
      <c r="P5" s="4" t="s">
        <v>13</v>
      </c>
      <c r="Q5" s="4" t="s">
        <v>14</v>
      </c>
      <c r="R5" s="4" t="s">
        <v>6</v>
      </c>
      <c r="T5" s="4" t="s">
        <v>13</v>
      </c>
      <c r="U5" s="4" t="s">
        <v>14</v>
      </c>
      <c r="V5" s="4" t="s">
        <v>6</v>
      </c>
    </row>
    <row r="6" spans="1:22" x14ac:dyDescent="0.2">
      <c r="A6" s="5">
        <v>2</v>
      </c>
      <c r="B6" s="5">
        <v>990</v>
      </c>
      <c r="C6" s="5">
        <v>0</v>
      </c>
      <c r="D6" s="7">
        <v>990</v>
      </c>
      <c r="E6" s="5">
        <v>2</v>
      </c>
      <c r="F6" s="5">
        <v>7180</v>
      </c>
      <c r="G6" s="5">
        <v>2585</v>
      </c>
      <c r="H6" s="7">
        <v>3855</v>
      </c>
      <c r="I6" s="5">
        <v>2</v>
      </c>
      <c r="J6" s="5">
        <v>700</v>
      </c>
      <c r="K6" s="5">
        <v>0</v>
      </c>
      <c r="L6" s="1"/>
      <c r="M6" s="4" t="s">
        <v>15</v>
      </c>
      <c r="N6" s="5">
        <v>12000</v>
      </c>
      <c r="O6" s="1"/>
      <c r="P6" s="17">
        <v>44501</v>
      </c>
      <c r="Q6" s="8" t="s">
        <v>32</v>
      </c>
      <c r="R6" s="9">
        <v>1000</v>
      </c>
      <c r="T6" s="18">
        <v>44522</v>
      </c>
      <c r="U6" s="19" t="s">
        <v>23</v>
      </c>
      <c r="V6" s="20">
        <v>1500</v>
      </c>
    </row>
    <row r="7" spans="1:22" x14ac:dyDescent="0.2">
      <c r="A7" s="5">
        <v>3</v>
      </c>
      <c r="B7" s="5">
        <v>1030</v>
      </c>
      <c r="C7" s="5">
        <v>7724</v>
      </c>
      <c r="D7" s="7">
        <v>806</v>
      </c>
      <c r="E7" s="5">
        <v>3</v>
      </c>
      <c r="F7" s="5">
        <v>20339</v>
      </c>
      <c r="G7" s="5">
        <v>7184</v>
      </c>
      <c r="H7" s="7">
        <v>14285</v>
      </c>
      <c r="I7" s="5">
        <v>3</v>
      </c>
      <c r="J7" s="5">
        <v>14000</v>
      </c>
      <c r="K7" s="5">
        <v>0</v>
      </c>
      <c r="L7" s="1"/>
      <c r="M7" s="4" t="s">
        <v>19</v>
      </c>
      <c r="N7" s="5">
        <v>13000</v>
      </c>
      <c r="O7" s="1"/>
      <c r="P7" s="21">
        <v>44507</v>
      </c>
      <c r="Q7" s="19" t="s">
        <v>71</v>
      </c>
      <c r="R7" s="19">
        <v>1000</v>
      </c>
      <c r="T7" s="21">
        <v>44527</v>
      </c>
      <c r="U7" s="19" t="s">
        <v>32</v>
      </c>
      <c r="V7" s="19">
        <v>2000</v>
      </c>
    </row>
    <row r="8" spans="1:22" x14ac:dyDescent="0.2">
      <c r="A8" s="5">
        <v>4</v>
      </c>
      <c r="B8" s="19">
        <v>1465</v>
      </c>
      <c r="C8" s="19">
        <v>3009</v>
      </c>
      <c r="D8" s="11">
        <v>815</v>
      </c>
      <c r="E8" s="5">
        <v>4</v>
      </c>
      <c r="F8" s="4">
        <v>11175</v>
      </c>
      <c r="G8" s="4">
        <v>5911</v>
      </c>
      <c r="H8" s="11">
        <v>428</v>
      </c>
      <c r="I8" s="5">
        <v>4</v>
      </c>
      <c r="J8" s="19">
        <v>2400</v>
      </c>
      <c r="K8" s="19">
        <v>0</v>
      </c>
      <c r="L8" s="1"/>
      <c r="M8" s="4" t="s">
        <v>22</v>
      </c>
      <c r="N8" s="20">
        <v>11000</v>
      </c>
      <c r="O8" s="1"/>
      <c r="P8" s="21">
        <v>44508</v>
      </c>
      <c r="Q8" s="19" t="s">
        <v>23</v>
      </c>
      <c r="R8" s="19">
        <v>2000</v>
      </c>
      <c r="T8" s="21">
        <v>44527</v>
      </c>
      <c r="U8" s="19" t="s">
        <v>25</v>
      </c>
      <c r="V8" s="19">
        <v>5000</v>
      </c>
    </row>
    <row r="9" spans="1:22" x14ac:dyDescent="0.2">
      <c r="A9" s="5">
        <v>5</v>
      </c>
      <c r="B9" s="19">
        <v>2570</v>
      </c>
      <c r="C9" s="4">
        <v>476</v>
      </c>
      <c r="D9" s="11">
        <v>1990</v>
      </c>
      <c r="E9" s="5">
        <v>5</v>
      </c>
      <c r="F9" s="19">
        <v>11010</v>
      </c>
      <c r="G9" s="19">
        <v>6285</v>
      </c>
      <c r="H9" s="11">
        <v>2414</v>
      </c>
      <c r="I9" s="5">
        <v>5</v>
      </c>
      <c r="J9" s="19">
        <v>3600</v>
      </c>
      <c r="K9" s="19">
        <v>0</v>
      </c>
      <c r="L9" s="1"/>
      <c r="M9" s="4" t="s">
        <v>24</v>
      </c>
      <c r="N9" s="5">
        <v>6500</v>
      </c>
      <c r="O9" s="1"/>
      <c r="P9" s="21">
        <v>44509</v>
      </c>
      <c r="Q9" s="19" t="s">
        <v>17</v>
      </c>
      <c r="R9" s="19">
        <v>2000</v>
      </c>
      <c r="T9" s="21">
        <v>44528</v>
      </c>
      <c r="U9" s="19" t="s">
        <v>15</v>
      </c>
      <c r="V9" s="19">
        <v>2000</v>
      </c>
    </row>
    <row r="10" spans="1:22" x14ac:dyDescent="0.2">
      <c r="A10" s="5">
        <v>6</v>
      </c>
      <c r="B10" s="19">
        <v>3153</v>
      </c>
      <c r="C10" s="4">
        <v>1478</v>
      </c>
      <c r="D10" s="11">
        <v>2183</v>
      </c>
      <c r="E10" s="5">
        <v>6</v>
      </c>
      <c r="F10" s="19">
        <v>9944</v>
      </c>
      <c r="G10" s="19">
        <v>6992</v>
      </c>
      <c r="H10" s="11">
        <v>167</v>
      </c>
      <c r="I10" s="5">
        <v>6</v>
      </c>
      <c r="J10" s="19">
        <v>700</v>
      </c>
      <c r="K10" s="19">
        <v>0</v>
      </c>
      <c r="L10" s="1"/>
      <c r="M10" s="4" t="s">
        <v>26</v>
      </c>
      <c r="N10" s="20">
        <v>18000</v>
      </c>
      <c r="O10" s="1"/>
      <c r="P10" s="21">
        <v>44512</v>
      </c>
      <c r="Q10" s="19" t="s">
        <v>32</v>
      </c>
      <c r="R10" s="19">
        <v>3000</v>
      </c>
      <c r="T10" s="21">
        <v>44528</v>
      </c>
      <c r="U10" s="19" t="s">
        <v>72</v>
      </c>
      <c r="V10" s="19">
        <v>1000</v>
      </c>
    </row>
    <row r="11" spans="1:22" x14ac:dyDescent="0.2">
      <c r="A11" s="5">
        <v>7</v>
      </c>
      <c r="B11" s="19">
        <v>3380</v>
      </c>
      <c r="C11" s="19">
        <v>4673</v>
      </c>
      <c r="D11" s="11">
        <v>3010</v>
      </c>
      <c r="E11" s="5">
        <v>7</v>
      </c>
      <c r="F11" s="19">
        <v>15704</v>
      </c>
      <c r="G11" s="19">
        <v>4431</v>
      </c>
      <c r="H11" s="11">
        <v>100</v>
      </c>
      <c r="I11" s="5">
        <v>7</v>
      </c>
      <c r="J11" s="19">
        <v>2800</v>
      </c>
      <c r="K11" s="19">
        <v>0</v>
      </c>
      <c r="L11" s="1"/>
      <c r="M11" s="4" t="s">
        <v>29</v>
      </c>
      <c r="N11" s="20">
        <v>12000</v>
      </c>
      <c r="O11" s="1"/>
      <c r="P11" s="21">
        <v>44484</v>
      </c>
      <c r="Q11" s="19" t="s">
        <v>23</v>
      </c>
      <c r="R11" s="19">
        <v>2000</v>
      </c>
      <c r="T11" s="21">
        <v>44529</v>
      </c>
      <c r="U11" s="19" t="s">
        <v>22</v>
      </c>
      <c r="V11" s="19">
        <v>3000</v>
      </c>
    </row>
    <row r="12" spans="1:22" x14ac:dyDescent="0.2">
      <c r="A12" s="5">
        <v>8</v>
      </c>
      <c r="B12" s="19">
        <v>0</v>
      </c>
      <c r="C12" s="19">
        <v>0</v>
      </c>
      <c r="D12" s="11" t="s">
        <v>21</v>
      </c>
      <c r="E12" s="5">
        <v>8</v>
      </c>
      <c r="F12" s="19">
        <v>3500</v>
      </c>
      <c r="G12" s="19">
        <v>4486</v>
      </c>
      <c r="H12" s="11">
        <v>3743</v>
      </c>
      <c r="I12" s="5">
        <v>8</v>
      </c>
      <c r="J12" s="19">
        <v>20600</v>
      </c>
      <c r="K12" s="19">
        <v>0</v>
      </c>
      <c r="L12" s="11" t="s">
        <v>73</v>
      </c>
      <c r="M12" s="19" t="s">
        <v>74</v>
      </c>
      <c r="N12" s="20">
        <v>11000</v>
      </c>
      <c r="O12" s="1"/>
      <c r="P12" s="21">
        <v>44518</v>
      </c>
      <c r="Q12" s="19" t="s">
        <v>17</v>
      </c>
      <c r="R12" s="19">
        <v>1000</v>
      </c>
      <c r="T12" s="21"/>
      <c r="U12" s="19"/>
      <c r="V12" s="19"/>
    </row>
    <row r="13" spans="1:22" x14ac:dyDescent="0.2">
      <c r="A13" s="5">
        <v>9</v>
      </c>
      <c r="B13" s="19">
        <v>1400</v>
      </c>
      <c r="C13" s="19">
        <v>2397</v>
      </c>
      <c r="D13" s="11">
        <v>1400</v>
      </c>
      <c r="E13" s="5">
        <v>9</v>
      </c>
      <c r="F13" s="19">
        <v>8335</v>
      </c>
      <c r="G13" s="19">
        <v>2159</v>
      </c>
      <c r="H13" s="11">
        <v>241</v>
      </c>
      <c r="I13" s="5">
        <v>9</v>
      </c>
      <c r="J13" s="19">
        <v>2200</v>
      </c>
      <c r="K13" s="19">
        <v>0</v>
      </c>
      <c r="L13" s="1"/>
      <c r="M13" s="19" t="s">
        <v>75</v>
      </c>
      <c r="N13" s="19">
        <v>4333</v>
      </c>
      <c r="O13" s="11" t="s">
        <v>76</v>
      </c>
      <c r="P13" s="21">
        <v>44520</v>
      </c>
      <c r="Q13" s="19" t="s">
        <v>32</v>
      </c>
      <c r="R13" s="19">
        <v>3000</v>
      </c>
      <c r="T13" s="21"/>
      <c r="U13" s="19"/>
      <c r="V13" s="19"/>
    </row>
    <row r="14" spans="1:22" x14ac:dyDescent="0.2">
      <c r="A14" s="5">
        <v>10</v>
      </c>
      <c r="B14" s="19">
        <v>1290</v>
      </c>
      <c r="C14" s="19">
        <v>0</v>
      </c>
      <c r="D14" s="11">
        <v>0</v>
      </c>
      <c r="E14" s="5">
        <v>10</v>
      </c>
      <c r="F14" s="19">
        <v>13070</v>
      </c>
      <c r="G14" s="19">
        <v>12067</v>
      </c>
      <c r="H14" s="11">
        <v>18</v>
      </c>
      <c r="I14" s="5">
        <v>10</v>
      </c>
      <c r="J14" s="19">
        <v>4100</v>
      </c>
      <c r="K14" s="19">
        <v>0</v>
      </c>
      <c r="L14" s="1"/>
      <c r="M14" s="19" t="s">
        <v>77</v>
      </c>
      <c r="N14" s="19">
        <v>2400</v>
      </c>
      <c r="O14" s="11" t="s">
        <v>78</v>
      </c>
      <c r="P14" s="21">
        <v>44520</v>
      </c>
      <c r="Q14" s="19" t="s">
        <v>17</v>
      </c>
      <c r="R14" s="19">
        <v>500</v>
      </c>
      <c r="T14" s="21"/>
      <c r="U14" s="19"/>
      <c r="V14" s="19"/>
    </row>
    <row r="15" spans="1:22" x14ac:dyDescent="0.2">
      <c r="A15" s="5">
        <v>11</v>
      </c>
      <c r="B15" s="19">
        <v>2015</v>
      </c>
      <c r="C15" s="19">
        <v>3519</v>
      </c>
      <c r="D15" s="11">
        <v>2015</v>
      </c>
      <c r="E15" s="5">
        <v>11</v>
      </c>
      <c r="F15" s="19">
        <v>8130</v>
      </c>
      <c r="G15" s="19">
        <v>3057.75</v>
      </c>
      <c r="H15" s="11">
        <v>279</v>
      </c>
      <c r="I15" s="5">
        <v>11</v>
      </c>
      <c r="J15" s="19">
        <v>3500</v>
      </c>
      <c r="K15" s="19">
        <v>0</v>
      </c>
      <c r="L15" s="1"/>
      <c r="M15" s="12" t="s">
        <v>79</v>
      </c>
      <c r="N15" s="13">
        <v>111233</v>
      </c>
      <c r="O15" s="1"/>
      <c r="P15" s="21">
        <v>44521</v>
      </c>
      <c r="Q15" s="19" t="s">
        <v>25</v>
      </c>
      <c r="R15" s="19">
        <v>3000</v>
      </c>
      <c r="T15" s="21"/>
      <c r="U15" s="19"/>
      <c r="V15" s="19"/>
    </row>
    <row r="16" spans="1:22" x14ac:dyDescent="0.2">
      <c r="A16" s="5">
        <v>12</v>
      </c>
      <c r="B16" s="19">
        <v>3049</v>
      </c>
      <c r="C16" s="19">
        <v>3882.8</v>
      </c>
      <c r="D16" s="11">
        <v>3049</v>
      </c>
      <c r="E16" s="5">
        <v>12</v>
      </c>
      <c r="F16" s="19">
        <v>5345</v>
      </c>
      <c r="G16" s="19">
        <v>3316.75</v>
      </c>
      <c r="H16" s="11">
        <v>9307</v>
      </c>
      <c r="I16" s="5">
        <v>12</v>
      </c>
      <c r="J16" s="19">
        <v>15700</v>
      </c>
      <c r="K16" s="19">
        <v>0</v>
      </c>
      <c r="L16" s="1"/>
      <c r="M16" s="1"/>
      <c r="N16" s="1"/>
      <c r="O16" s="1"/>
      <c r="P16" s="1"/>
      <c r="Q16" s="1"/>
      <c r="R16" s="1"/>
    </row>
    <row r="17" spans="1:18" x14ac:dyDescent="0.2">
      <c r="A17" s="5">
        <v>13</v>
      </c>
      <c r="B17" s="19">
        <v>0</v>
      </c>
      <c r="C17" s="19">
        <v>0</v>
      </c>
      <c r="D17" s="11" t="s">
        <v>80</v>
      </c>
      <c r="E17" s="5">
        <v>13</v>
      </c>
      <c r="F17" s="19">
        <v>53375</v>
      </c>
      <c r="G17" s="19">
        <v>12808</v>
      </c>
      <c r="H17" s="11">
        <v>29526</v>
      </c>
      <c r="I17" s="5">
        <v>13</v>
      </c>
      <c r="J17" s="19">
        <v>2500</v>
      </c>
      <c r="K17" s="19">
        <v>0</v>
      </c>
      <c r="L17" s="1"/>
      <c r="M17" s="78" t="s">
        <v>37</v>
      </c>
      <c r="N17" s="79"/>
      <c r="O17" s="1"/>
      <c r="P17" s="80" t="s">
        <v>38</v>
      </c>
      <c r="Q17" s="79"/>
      <c r="R17" s="1"/>
    </row>
    <row r="18" spans="1:18" x14ac:dyDescent="0.2">
      <c r="A18" s="5">
        <v>14</v>
      </c>
      <c r="B18" s="19">
        <v>3555</v>
      </c>
      <c r="C18" s="19">
        <v>2963</v>
      </c>
      <c r="D18" s="11">
        <v>2965</v>
      </c>
      <c r="E18" s="5">
        <v>14</v>
      </c>
      <c r="F18" s="19">
        <v>14945</v>
      </c>
      <c r="G18" s="19">
        <v>10615</v>
      </c>
      <c r="H18" s="11">
        <v>10</v>
      </c>
      <c r="I18" s="5">
        <v>14</v>
      </c>
      <c r="J18" s="19">
        <v>2600</v>
      </c>
      <c r="K18" s="19">
        <v>0</v>
      </c>
      <c r="L18" s="1"/>
      <c r="M18" s="2" t="s">
        <v>39</v>
      </c>
      <c r="N18" s="3" t="s">
        <v>6</v>
      </c>
      <c r="O18" s="1"/>
      <c r="P18" s="2" t="s">
        <v>5</v>
      </c>
      <c r="Q18" s="3" t="s">
        <v>6</v>
      </c>
      <c r="R18" s="1"/>
    </row>
    <row r="19" spans="1:18" x14ac:dyDescent="0.2">
      <c r="A19" s="5">
        <v>15</v>
      </c>
      <c r="B19" s="19">
        <v>0</v>
      </c>
      <c r="C19" s="19">
        <v>0</v>
      </c>
      <c r="D19" s="11">
        <v>0</v>
      </c>
      <c r="E19" s="5">
        <v>15</v>
      </c>
      <c r="F19" s="19">
        <v>1670</v>
      </c>
      <c r="G19" s="19">
        <v>293</v>
      </c>
      <c r="H19" s="11">
        <v>3</v>
      </c>
      <c r="I19" s="5">
        <v>15</v>
      </c>
      <c r="J19" s="19">
        <v>800</v>
      </c>
      <c r="K19" s="19">
        <v>0</v>
      </c>
      <c r="L19" s="1"/>
      <c r="M19" s="4" t="s">
        <v>41</v>
      </c>
      <c r="N19" s="22">
        <v>50000</v>
      </c>
      <c r="O19" s="1"/>
      <c r="P19" s="4" t="s">
        <v>42</v>
      </c>
      <c r="Q19" s="5">
        <v>700335</v>
      </c>
      <c r="R19" s="1"/>
    </row>
    <row r="20" spans="1:18" x14ac:dyDescent="0.2">
      <c r="A20" s="5">
        <v>16</v>
      </c>
      <c r="B20" s="19">
        <v>4429</v>
      </c>
      <c r="C20" s="19">
        <v>5317.75</v>
      </c>
      <c r="D20" s="11">
        <v>3589</v>
      </c>
      <c r="E20" s="5">
        <v>16</v>
      </c>
      <c r="F20" s="19">
        <v>23029</v>
      </c>
      <c r="G20" s="19">
        <v>22008</v>
      </c>
      <c r="H20" s="11">
        <v>3711</v>
      </c>
      <c r="I20" s="5">
        <v>16</v>
      </c>
      <c r="J20" s="19">
        <v>41300</v>
      </c>
      <c r="K20" s="19">
        <v>0</v>
      </c>
      <c r="L20" s="11" t="s">
        <v>81</v>
      </c>
      <c r="M20" s="4" t="s">
        <v>43</v>
      </c>
      <c r="N20" s="19">
        <v>27635</v>
      </c>
      <c r="O20" s="1"/>
      <c r="P20" s="4" t="s">
        <v>44</v>
      </c>
      <c r="Q20" s="5">
        <v>492649.3</v>
      </c>
      <c r="R20" s="1"/>
    </row>
    <row r="21" spans="1:18" x14ac:dyDescent="0.2">
      <c r="A21" s="5">
        <v>17</v>
      </c>
      <c r="B21" s="19">
        <v>1180</v>
      </c>
      <c r="C21" s="19">
        <v>2516.75</v>
      </c>
      <c r="D21" s="11">
        <v>810</v>
      </c>
      <c r="E21" s="5">
        <v>17</v>
      </c>
      <c r="F21" s="19">
        <v>5930</v>
      </c>
      <c r="G21" s="19">
        <v>2883</v>
      </c>
      <c r="H21" s="11">
        <v>156</v>
      </c>
      <c r="I21" s="5">
        <v>17</v>
      </c>
      <c r="J21" s="19">
        <v>2200</v>
      </c>
      <c r="K21" s="19">
        <v>0</v>
      </c>
      <c r="L21" s="1" t="s">
        <v>45</v>
      </c>
      <c r="M21" s="4" t="s">
        <v>46</v>
      </c>
      <c r="N21" s="5">
        <v>2500</v>
      </c>
      <c r="O21" s="1"/>
      <c r="P21" s="12" t="s">
        <v>47</v>
      </c>
      <c r="Q21" s="13">
        <v>207685.7</v>
      </c>
      <c r="R21" s="1"/>
    </row>
    <row r="22" spans="1:18" x14ac:dyDescent="0.2">
      <c r="A22" s="5">
        <v>18</v>
      </c>
      <c r="B22" s="19">
        <v>2490</v>
      </c>
      <c r="C22" s="19">
        <v>1546</v>
      </c>
      <c r="D22" s="11">
        <v>1580</v>
      </c>
      <c r="E22" s="5">
        <v>18</v>
      </c>
      <c r="F22" s="19">
        <v>16470</v>
      </c>
      <c r="G22" s="19">
        <v>4299</v>
      </c>
      <c r="H22" s="11">
        <v>220</v>
      </c>
      <c r="I22" s="5">
        <v>18</v>
      </c>
      <c r="J22" s="19">
        <v>6900</v>
      </c>
      <c r="K22" s="19">
        <v>0</v>
      </c>
      <c r="L22" s="1"/>
      <c r="M22" s="4" t="s">
        <v>48</v>
      </c>
      <c r="N22" s="19">
        <v>5005</v>
      </c>
      <c r="O22" s="1"/>
      <c r="P22" s="4" t="s">
        <v>49</v>
      </c>
      <c r="Q22" s="20">
        <v>35000</v>
      </c>
      <c r="R22" s="1"/>
    </row>
    <row r="23" spans="1:18" x14ac:dyDescent="0.2">
      <c r="A23" s="5">
        <v>19</v>
      </c>
      <c r="B23" s="19">
        <v>2740</v>
      </c>
      <c r="C23" s="19">
        <v>1641.5</v>
      </c>
      <c r="D23" s="11">
        <v>2740</v>
      </c>
      <c r="E23" s="5">
        <v>19</v>
      </c>
      <c r="F23" s="19">
        <v>9225</v>
      </c>
      <c r="G23" s="19">
        <v>8684</v>
      </c>
      <c r="H23" s="11">
        <v>1</v>
      </c>
      <c r="I23" s="5">
        <v>19</v>
      </c>
      <c r="J23" s="19">
        <v>1200</v>
      </c>
      <c r="K23" s="19">
        <v>0</v>
      </c>
      <c r="L23" s="1"/>
      <c r="M23" s="4" t="s">
        <v>50</v>
      </c>
      <c r="N23" s="5">
        <v>1690</v>
      </c>
      <c r="O23" s="1"/>
      <c r="P23" s="1"/>
      <c r="Q23" s="1"/>
      <c r="R23" s="1"/>
    </row>
    <row r="24" spans="1:18" x14ac:dyDescent="0.2">
      <c r="A24" s="5">
        <v>20</v>
      </c>
      <c r="B24" s="19">
        <v>1590</v>
      </c>
      <c r="C24" s="19">
        <v>1744.5</v>
      </c>
      <c r="D24" s="11">
        <v>1590</v>
      </c>
      <c r="E24" s="5">
        <v>20</v>
      </c>
      <c r="F24" s="19">
        <v>18468</v>
      </c>
      <c r="G24" s="19">
        <v>8905</v>
      </c>
      <c r="H24" s="11">
        <v>21</v>
      </c>
      <c r="I24" s="5">
        <v>20</v>
      </c>
      <c r="J24" s="19">
        <v>3100</v>
      </c>
      <c r="K24" s="19">
        <v>0</v>
      </c>
      <c r="L24" s="1"/>
      <c r="M24" s="4" t="s">
        <v>51</v>
      </c>
      <c r="N24" s="20">
        <v>5000</v>
      </c>
      <c r="O24" s="1"/>
      <c r="P24" s="1"/>
      <c r="Q24" s="1"/>
      <c r="R24" s="1"/>
    </row>
    <row r="25" spans="1:18" x14ac:dyDescent="0.2">
      <c r="A25" s="5">
        <v>21</v>
      </c>
      <c r="B25" s="19">
        <v>1540</v>
      </c>
      <c r="C25" s="19">
        <v>0</v>
      </c>
      <c r="D25" s="11">
        <v>1170</v>
      </c>
      <c r="E25" s="5">
        <v>21</v>
      </c>
      <c r="F25" s="19">
        <v>19075</v>
      </c>
      <c r="G25" s="19">
        <v>15732</v>
      </c>
      <c r="H25" s="11">
        <v>7093</v>
      </c>
      <c r="I25" s="5">
        <v>21</v>
      </c>
      <c r="J25" s="19">
        <v>8400</v>
      </c>
      <c r="K25" s="19">
        <v>0</v>
      </c>
      <c r="L25" s="1"/>
      <c r="M25" s="4"/>
      <c r="N25" s="4"/>
      <c r="O25" s="1"/>
      <c r="P25" s="1"/>
      <c r="Q25" s="1"/>
      <c r="R25" s="1"/>
    </row>
    <row r="26" spans="1:18" x14ac:dyDescent="0.2">
      <c r="A26" s="5">
        <v>22</v>
      </c>
      <c r="B26" s="19">
        <v>0</v>
      </c>
      <c r="C26" s="19">
        <v>0</v>
      </c>
      <c r="D26" s="11" t="s">
        <v>21</v>
      </c>
      <c r="E26" s="5">
        <v>22</v>
      </c>
      <c r="F26" s="19">
        <v>5070</v>
      </c>
      <c r="G26" s="19">
        <v>552</v>
      </c>
      <c r="H26" s="11">
        <v>5576</v>
      </c>
      <c r="I26" s="5">
        <v>22</v>
      </c>
      <c r="J26" s="19">
        <v>2800</v>
      </c>
      <c r="K26" s="19">
        <v>0</v>
      </c>
      <c r="L26" s="1"/>
      <c r="M26" s="4"/>
      <c r="N26" s="4"/>
      <c r="O26" s="1"/>
      <c r="P26" s="1"/>
      <c r="Q26" s="1"/>
      <c r="R26" s="1"/>
    </row>
    <row r="27" spans="1:18" x14ac:dyDescent="0.2">
      <c r="A27" s="5">
        <v>23</v>
      </c>
      <c r="B27" s="19">
        <v>2990</v>
      </c>
      <c r="C27" s="19">
        <v>1550.75</v>
      </c>
      <c r="D27" s="11">
        <v>2270</v>
      </c>
      <c r="E27" s="5">
        <v>23</v>
      </c>
      <c r="F27" s="19">
        <v>15995</v>
      </c>
      <c r="G27" s="19">
        <v>5143</v>
      </c>
      <c r="H27" s="11">
        <v>12577</v>
      </c>
      <c r="I27" s="5">
        <v>23</v>
      </c>
      <c r="J27" s="19">
        <v>19700</v>
      </c>
      <c r="K27" s="19">
        <v>0</v>
      </c>
      <c r="L27" s="1"/>
      <c r="M27" s="4"/>
      <c r="N27" s="4"/>
      <c r="O27" s="1"/>
      <c r="P27" s="1"/>
      <c r="Q27" s="1"/>
      <c r="R27" s="1"/>
    </row>
    <row r="28" spans="1:18" x14ac:dyDescent="0.2">
      <c r="A28" s="5">
        <v>24</v>
      </c>
      <c r="B28" s="19">
        <v>1840</v>
      </c>
      <c r="C28" s="19">
        <v>0</v>
      </c>
      <c r="D28" s="11">
        <v>1840</v>
      </c>
      <c r="E28" s="5">
        <v>24</v>
      </c>
      <c r="F28" s="19">
        <v>12094</v>
      </c>
      <c r="G28" s="19">
        <v>11406</v>
      </c>
      <c r="H28" s="11">
        <v>2048</v>
      </c>
      <c r="I28" s="5">
        <v>24</v>
      </c>
      <c r="J28" s="19">
        <v>3400</v>
      </c>
      <c r="K28" s="19">
        <v>0</v>
      </c>
      <c r="L28" s="1"/>
      <c r="M28" s="4"/>
      <c r="N28" s="4"/>
      <c r="O28" s="1"/>
      <c r="P28" s="1"/>
      <c r="Q28" s="1"/>
      <c r="R28" s="1"/>
    </row>
    <row r="29" spans="1:18" x14ac:dyDescent="0.2">
      <c r="A29" s="5">
        <v>25</v>
      </c>
      <c r="B29" s="19">
        <v>4345</v>
      </c>
      <c r="C29" s="19">
        <v>5960</v>
      </c>
      <c r="D29" s="11">
        <v>3155</v>
      </c>
      <c r="E29" s="5">
        <v>25</v>
      </c>
      <c r="F29" s="19">
        <v>19085</v>
      </c>
      <c r="G29" s="19">
        <v>12975</v>
      </c>
      <c r="H29" s="11">
        <v>1390</v>
      </c>
      <c r="I29" s="5">
        <v>25</v>
      </c>
      <c r="J29" s="19">
        <v>1900</v>
      </c>
      <c r="K29" s="19">
        <v>0</v>
      </c>
      <c r="L29" s="1"/>
      <c r="M29" s="4"/>
      <c r="N29" s="4"/>
      <c r="O29" s="1"/>
      <c r="P29" s="1"/>
      <c r="Q29" s="1"/>
      <c r="R29" s="1"/>
    </row>
    <row r="30" spans="1:18" x14ac:dyDescent="0.2">
      <c r="A30" s="5">
        <v>26</v>
      </c>
      <c r="B30" s="19">
        <v>1590</v>
      </c>
      <c r="C30" s="19">
        <v>6310</v>
      </c>
      <c r="D30" s="11">
        <v>1220</v>
      </c>
      <c r="E30" s="5">
        <v>26</v>
      </c>
      <c r="F30" s="19">
        <v>10364</v>
      </c>
      <c r="G30" s="19">
        <v>1601</v>
      </c>
      <c r="H30" s="11">
        <v>8039</v>
      </c>
      <c r="I30" s="5">
        <v>26</v>
      </c>
      <c r="J30" s="19">
        <v>4500</v>
      </c>
      <c r="K30" s="19">
        <v>0</v>
      </c>
      <c r="L30" s="1"/>
      <c r="M30" s="12" t="s">
        <v>36</v>
      </c>
      <c r="N30" s="13">
        <v>91830</v>
      </c>
      <c r="O30" s="1"/>
      <c r="P30" s="1"/>
      <c r="Q30" s="1"/>
      <c r="R30" s="1"/>
    </row>
    <row r="31" spans="1:18" x14ac:dyDescent="0.2">
      <c r="A31" s="5">
        <v>27</v>
      </c>
      <c r="B31" s="19">
        <v>1898</v>
      </c>
      <c r="C31" s="19">
        <v>2960.75</v>
      </c>
      <c r="D31" s="11">
        <v>1898</v>
      </c>
      <c r="E31" s="5">
        <v>27</v>
      </c>
      <c r="F31" s="19">
        <v>18160</v>
      </c>
      <c r="G31" s="19">
        <v>7787</v>
      </c>
      <c r="H31" s="11">
        <v>753</v>
      </c>
      <c r="I31" s="5">
        <v>27</v>
      </c>
      <c r="J31" s="19">
        <v>1300</v>
      </c>
      <c r="K31" s="19">
        <v>0</v>
      </c>
      <c r="L31" s="1"/>
      <c r="M31" s="1"/>
      <c r="N31" s="1"/>
      <c r="O31" s="1"/>
      <c r="P31" s="1"/>
      <c r="Q31" s="1"/>
      <c r="R31" s="1"/>
    </row>
    <row r="32" spans="1:18" x14ac:dyDescent="0.2">
      <c r="A32" s="5">
        <v>28</v>
      </c>
      <c r="B32" s="19">
        <v>1860</v>
      </c>
      <c r="C32" s="4">
        <v>8058</v>
      </c>
      <c r="D32" s="11">
        <v>550</v>
      </c>
      <c r="E32" s="5">
        <v>28</v>
      </c>
      <c r="F32" s="19">
        <v>17365</v>
      </c>
      <c r="G32" s="19">
        <v>1363</v>
      </c>
      <c r="H32" s="1"/>
      <c r="I32" s="5">
        <v>28</v>
      </c>
      <c r="J32" s="19">
        <v>15900</v>
      </c>
      <c r="K32" s="19">
        <v>0</v>
      </c>
      <c r="L32" s="1"/>
      <c r="M32" s="81" t="s">
        <v>53</v>
      </c>
      <c r="N32" s="79"/>
      <c r="O32" s="1"/>
      <c r="P32" s="1"/>
      <c r="Q32" s="1"/>
      <c r="R32" s="1"/>
    </row>
    <row r="33" spans="1:18" x14ac:dyDescent="0.2">
      <c r="A33" s="5">
        <v>29</v>
      </c>
      <c r="B33" s="19">
        <v>0</v>
      </c>
      <c r="C33" s="19">
        <v>0</v>
      </c>
      <c r="D33" s="1"/>
      <c r="E33" s="5">
        <v>29</v>
      </c>
      <c r="F33" s="19">
        <v>6635</v>
      </c>
      <c r="G33" s="19">
        <v>400</v>
      </c>
      <c r="H33" s="1"/>
      <c r="I33" s="5">
        <v>29</v>
      </c>
      <c r="J33" s="19">
        <v>1400</v>
      </c>
      <c r="K33" s="19">
        <v>0</v>
      </c>
      <c r="L33" s="1"/>
      <c r="M33" s="2" t="s">
        <v>39</v>
      </c>
      <c r="N33" s="3" t="s">
        <v>6</v>
      </c>
      <c r="O33" s="1"/>
      <c r="P33" s="1"/>
      <c r="Q33" s="1"/>
      <c r="R33" s="1"/>
    </row>
    <row r="34" spans="1:18" x14ac:dyDescent="0.2">
      <c r="A34" s="5">
        <v>30</v>
      </c>
      <c r="B34" s="19">
        <v>2535</v>
      </c>
      <c r="C34" s="19">
        <v>725</v>
      </c>
      <c r="D34" s="11">
        <v>1995</v>
      </c>
      <c r="E34" s="5">
        <v>30</v>
      </c>
      <c r="F34" s="19">
        <v>44154</v>
      </c>
      <c r="G34" s="19">
        <v>33005</v>
      </c>
      <c r="H34" s="1"/>
      <c r="I34" s="5">
        <v>30</v>
      </c>
      <c r="J34" s="19">
        <v>26900</v>
      </c>
      <c r="K34" s="19">
        <v>0</v>
      </c>
      <c r="L34" s="1"/>
      <c r="M34" s="19" t="s">
        <v>82</v>
      </c>
      <c r="N34" s="19">
        <v>2200</v>
      </c>
      <c r="O34" s="1"/>
      <c r="P34" s="1"/>
      <c r="Q34" s="1"/>
      <c r="R34" s="1"/>
    </row>
    <row r="35" spans="1:18" x14ac:dyDescent="0.2">
      <c r="A35" s="12" t="s">
        <v>36</v>
      </c>
      <c r="B35" s="13">
        <v>54924</v>
      </c>
      <c r="C35" s="13">
        <v>68452.800000000003</v>
      </c>
      <c r="D35" s="1"/>
      <c r="E35" s="12" t="s">
        <v>36</v>
      </c>
      <c r="F35" s="13">
        <v>427611</v>
      </c>
      <c r="G35" s="13">
        <v>218933.5</v>
      </c>
      <c r="H35" s="1"/>
      <c r="I35" s="12" t="s">
        <v>36</v>
      </c>
      <c r="J35" s="13">
        <v>217800</v>
      </c>
      <c r="K35" s="13">
        <v>0</v>
      </c>
      <c r="L35" s="1"/>
      <c r="M35" s="4"/>
      <c r="N35" s="4"/>
      <c r="O35" s="1"/>
      <c r="P35" s="1"/>
      <c r="Q35" s="1"/>
      <c r="R35" s="1"/>
    </row>
    <row r="36" spans="1:18" x14ac:dyDescent="0.2">
      <c r="A36" s="3" t="s">
        <v>56</v>
      </c>
      <c r="B36" s="82">
        <v>-13528.800000000003</v>
      </c>
      <c r="C36" s="79"/>
      <c r="D36" s="1"/>
      <c r="E36" s="3" t="s">
        <v>56</v>
      </c>
      <c r="F36" s="82">
        <v>208677.5</v>
      </c>
      <c r="G36" s="79"/>
      <c r="H36" s="1"/>
      <c r="I36" s="3" t="s">
        <v>56</v>
      </c>
      <c r="J36" s="82">
        <v>217800</v>
      </c>
      <c r="K36" s="79"/>
      <c r="L36" s="1"/>
      <c r="M36" s="4"/>
      <c r="N36" s="4"/>
      <c r="O36" s="1"/>
      <c r="P36" s="1"/>
      <c r="Q36" s="1"/>
      <c r="R36" s="1"/>
    </row>
    <row r="37" spans="1:18" x14ac:dyDescent="0.2">
      <c r="A37" s="5">
        <v>31</v>
      </c>
      <c r="B37" s="4"/>
      <c r="C37" s="4"/>
      <c r="D37" s="1"/>
      <c r="E37" s="5">
        <v>31</v>
      </c>
      <c r="F37" s="4"/>
      <c r="G37" s="4"/>
      <c r="H37" s="1"/>
      <c r="I37" s="5">
        <v>31</v>
      </c>
      <c r="J37" s="4"/>
      <c r="K37" s="4"/>
      <c r="L37" s="1"/>
      <c r="M37" s="4"/>
      <c r="N37" s="4"/>
      <c r="O37" s="1"/>
      <c r="P37" s="1"/>
      <c r="Q37" s="1"/>
      <c r="R37" s="1"/>
    </row>
    <row r="38" spans="1:1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4"/>
      <c r="N38" s="14"/>
      <c r="O38" s="1"/>
      <c r="P38" s="1"/>
      <c r="Q38" s="1"/>
      <c r="R38" s="1"/>
    </row>
    <row r="39" spans="1:1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4"/>
      <c r="N39" s="4"/>
      <c r="O39" s="1"/>
      <c r="P39" s="1"/>
      <c r="Q39" s="1"/>
      <c r="R39" s="1"/>
    </row>
    <row r="40" spans="1:1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"/>
      <c r="N40" s="4"/>
      <c r="O40" s="1"/>
      <c r="P40" s="1"/>
      <c r="Q40" s="1"/>
      <c r="R40" s="1"/>
    </row>
    <row r="41" spans="1:1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4"/>
      <c r="N41" s="4"/>
      <c r="O41" s="1"/>
      <c r="P41" s="1"/>
      <c r="Q41" s="1"/>
      <c r="R41" s="1"/>
    </row>
    <row r="42" spans="1:1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4"/>
      <c r="N42" s="4"/>
      <c r="O42" s="1"/>
      <c r="P42" s="1"/>
      <c r="Q42" s="1"/>
      <c r="R42" s="1"/>
    </row>
    <row r="43" spans="1:1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"/>
      <c r="N43" s="4"/>
      <c r="O43" s="1"/>
      <c r="P43" s="1"/>
      <c r="Q43" s="1"/>
      <c r="R43" s="1"/>
    </row>
    <row r="44" spans="1:18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4"/>
      <c r="N44" s="4"/>
      <c r="O44" s="1"/>
      <c r="P44" s="1"/>
      <c r="Q44" s="1"/>
      <c r="R44" s="1"/>
    </row>
    <row r="45" spans="1:18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4"/>
      <c r="N45" s="4"/>
      <c r="O45" s="1"/>
      <c r="P45" s="1"/>
      <c r="Q45" s="1"/>
      <c r="R45" s="1"/>
    </row>
    <row r="46" spans="1:1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4"/>
      <c r="N46" s="4"/>
      <c r="O46" s="1"/>
      <c r="P46" s="1"/>
      <c r="Q46" s="1"/>
      <c r="R46" s="1"/>
    </row>
    <row r="47" spans="1:18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4"/>
      <c r="N47" s="4"/>
      <c r="O47" s="1"/>
      <c r="P47" s="1"/>
      <c r="Q47" s="1"/>
      <c r="R47" s="1"/>
    </row>
    <row r="48" spans="1:18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4"/>
      <c r="N48" s="4"/>
      <c r="O48" s="1"/>
      <c r="P48" s="1"/>
      <c r="Q48" s="1"/>
      <c r="R48" s="1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"/>
      <c r="N49" s="4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4"/>
      <c r="N50" s="4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4"/>
      <c r="N51" s="4"/>
      <c r="O51" s="1"/>
      <c r="P51" s="1"/>
      <c r="Q51" s="1"/>
      <c r="R51" s="1"/>
    </row>
    <row r="52" spans="1:18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4"/>
      <c r="O52" s="1"/>
      <c r="P52" s="1"/>
      <c r="Q52" s="1"/>
      <c r="R52" s="1"/>
    </row>
    <row r="53" spans="1:18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4"/>
      <c r="O53" s="1"/>
      <c r="P53" s="1"/>
      <c r="Q53" s="1"/>
      <c r="R53" s="1"/>
    </row>
    <row r="54" spans="1:1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4"/>
      <c r="O54" s="1"/>
      <c r="P54" s="1"/>
      <c r="Q54" s="1"/>
      <c r="R54" s="1"/>
    </row>
    <row r="55" spans="1:1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 t="s">
        <v>36</v>
      </c>
      <c r="N55" s="5">
        <v>2200</v>
      </c>
      <c r="O55" s="1"/>
      <c r="P55" s="1"/>
      <c r="Q55" s="1"/>
      <c r="R55" s="1"/>
    </row>
  </sheetData>
  <mergeCells count="13">
    <mergeCell ref="P4:R4"/>
    <mergeCell ref="T4:V4"/>
    <mergeCell ref="A1:P1"/>
    <mergeCell ref="M2:N2"/>
    <mergeCell ref="A3:C3"/>
    <mergeCell ref="E3:G3"/>
    <mergeCell ref="I3:K3"/>
    <mergeCell ref="M17:N17"/>
    <mergeCell ref="P17:Q17"/>
    <mergeCell ref="M32:N32"/>
    <mergeCell ref="B36:C36"/>
    <mergeCell ref="F36:G36"/>
    <mergeCell ref="J36:K3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S55"/>
  <sheetViews>
    <sheetView topLeftCell="A43" workbookViewId="0">
      <selection activeCell="N55" sqref="N55"/>
    </sheetView>
  </sheetViews>
  <sheetFormatPr defaultColWidth="12.5703125" defaultRowHeight="15.75" customHeight="1" x14ac:dyDescent="0.2"/>
  <cols>
    <col min="1" max="1" width="6.7109375" customWidth="1"/>
    <col min="2" max="2" width="6.42578125" customWidth="1"/>
    <col min="3" max="3" width="6.5703125" customWidth="1"/>
    <col min="4" max="4" width="3.7109375" customWidth="1"/>
    <col min="5" max="5" width="6.85546875" customWidth="1"/>
    <col min="6" max="6" width="6.42578125" customWidth="1"/>
    <col min="7" max="7" width="6.5703125" customWidth="1"/>
    <col min="8" max="8" width="6.28515625" customWidth="1"/>
    <col min="9" max="9" width="7.5703125" customWidth="1"/>
    <col min="10" max="10" width="6.42578125" customWidth="1"/>
    <col min="11" max="11" width="6.5703125" customWidth="1"/>
    <col min="12" max="12" width="7.28515625" customWidth="1"/>
    <col min="13" max="13" width="12.5703125" customWidth="1"/>
    <col min="14" max="14" width="6.7109375" customWidth="1"/>
    <col min="15" max="15" width="5.5703125" customWidth="1"/>
    <col min="16" max="16" width="11.42578125" customWidth="1"/>
    <col min="17" max="17" width="7.140625" customWidth="1"/>
  </cols>
  <sheetData>
    <row r="1" spans="1:17" ht="12.75" x14ac:dyDescent="0.2">
      <c r="A1" s="80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79"/>
      <c r="Q1" s="1"/>
    </row>
    <row r="2" spans="1:17" ht="12.7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5" t="s">
        <v>1</v>
      </c>
      <c r="N2" s="79"/>
      <c r="O2" s="1"/>
      <c r="P2" s="1"/>
      <c r="Q2" s="1"/>
    </row>
    <row r="3" spans="1:17" ht="12.75" x14ac:dyDescent="0.2">
      <c r="A3" s="86" t="s">
        <v>2</v>
      </c>
      <c r="B3" s="84"/>
      <c r="C3" s="79"/>
      <c r="D3" s="1"/>
      <c r="E3" s="87" t="s">
        <v>3</v>
      </c>
      <c r="F3" s="84"/>
      <c r="G3" s="79"/>
      <c r="H3" s="1"/>
      <c r="I3" s="88" t="s">
        <v>4</v>
      </c>
      <c r="J3" s="84"/>
      <c r="K3" s="79"/>
      <c r="L3" s="1"/>
      <c r="M3" s="2" t="s">
        <v>5</v>
      </c>
      <c r="N3" s="3" t="s">
        <v>6</v>
      </c>
      <c r="O3" s="1"/>
      <c r="P3" s="1"/>
      <c r="Q3" s="1"/>
    </row>
    <row r="4" spans="1:17" ht="12.75" x14ac:dyDescent="0.2">
      <c r="A4" s="4" t="s">
        <v>7</v>
      </c>
      <c r="B4" s="4" t="s">
        <v>8</v>
      </c>
      <c r="C4" s="4" t="s">
        <v>9</v>
      </c>
      <c r="D4" s="1"/>
      <c r="E4" s="4" t="s">
        <v>7</v>
      </c>
      <c r="F4" s="4" t="s">
        <v>8</v>
      </c>
      <c r="G4" s="4" t="s">
        <v>9</v>
      </c>
      <c r="H4" s="1"/>
      <c r="I4" s="4" t="s">
        <v>7</v>
      </c>
      <c r="J4" s="4" t="s">
        <v>8</v>
      </c>
      <c r="K4" s="4" t="s">
        <v>9</v>
      </c>
      <c r="L4" s="1"/>
      <c r="M4" s="16" t="s">
        <v>69</v>
      </c>
      <c r="N4" s="16">
        <v>20000</v>
      </c>
      <c r="O4" s="11">
        <v>7000</v>
      </c>
      <c r="P4" s="1"/>
      <c r="Q4" s="1"/>
    </row>
    <row r="5" spans="1:17" ht="12.75" x14ac:dyDescent="0.2">
      <c r="A5" s="5">
        <v>1</v>
      </c>
      <c r="B5" s="20">
        <v>0</v>
      </c>
      <c r="C5" s="20">
        <v>0</v>
      </c>
      <c r="D5" s="11"/>
      <c r="E5" s="5">
        <v>1</v>
      </c>
      <c r="F5" s="20">
        <v>41477</v>
      </c>
      <c r="G5" s="20">
        <v>19286</v>
      </c>
      <c r="H5" s="7"/>
      <c r="I5" s="5">
        <v>1</v>
      </c>
      <c r="J5" s="20">
        <v>2900</v>
      </c>
      <c r="K5" s="20">
        <v>0</v>
      </c>
      <c r="L5" s="1"/>
      <c r="M5" s="4" t="s">
        <v>12</v>
      </c>
      <c r="N5" s="20">
        <v>20000</v>
      </c>
      <c r="O5" s="11">
        <v>7000</v>
      </c>
      <c r="P5" s="1"/>
      <c r="Q5" s="1"/>
    </row>
    <row r="6" spans="1:17" ht="12.75" x14ac:dyDescent="0.2">
      <c r="A6" s="5">
        <v>2</v>
      </c>
      <c r="B6" s="20">
        <v>6768</v>
      </c>
      <c r="C6" s="20">
        <v>3477</v>
      </c>
      <c r="D6" s="29"/>
      <c r="E6" s="5">
        <v>2</v>
      </c>
      <c r="F6" s="20">
        <v>31018</v>
      </c>
      <c r="G6" s="20">
        <v>24383</v>
      </c>
      <c r="H6" s="7"/>
      <c r="I6" s="5">
        <v>2</v>
      </c>
      <c r="J6" s="20">
        <v>800</v>
      </c>
      <c r="K6" s="20">
        <v>0</v>
      </c>
      <c r="L6" s="11"/>
      <c r="M6" s="4" t="s">
        <v>15</v>
      </c>
      <c r="N6" s="20">
        <v>20000</v>
      </c>
      <c r="O6" s="11">
        <v>6000</v>
      </c>
      <c r="P6" s="1"/>
      <c r="Q6" s="1"/>
    </row>
    <row r="7" spans="1:17" ht="12.75" x14ac:dyDescent="0.2">
      <c r="A7" s="5">
        <v>3</v>
      </c>
      <c r="B7" s="20">
        <v>9381</v>
      </c>
      <c r="C7" s="20">
        <v>1676</v>
      </c>
      <c r="D7" s="7"/>
      <c r="E7" s="5">
        <v>3</v>
      </c>
      <c r="F7" s="20">
        <v>38124</v>
      </c>
      <c r="G7" s="20">
        <v>24007</v>
      </c>
      <c r="H7" s="7"/>
      <c r="I7" s="5">
        <v>3</v>
      </c>
      <c r="J7" s="20">
        <v>24518</v>
      </c>
      <c r="K7" s="20">
        <v>0</v>
      </c>
      <c r="L7" s="11" t="s">
        <v>170</v>
      </c>
      <c r="M7" s="4" t="s">
        <v>19</v>
      </c>
      <c r="N7" s="20">
        <v>10880</v>
      </c>
      <c r="O7" s="11">
        <v>5000</v>
      </c>
      <c r="P7" s="1"/>
      <c r="Q7" s="1"/>
    </row>
    <row r="8" spans="1:17" ht="12.75" x14ac:dyDescent="0.2">
      <c r="A8" s="5">
        <v>4</v>
      </c>
      <c r="B8" s="19">
        <v>15267</v>
      </c>
      <c r="C8" s="19">
        <v>8156</v>
      </c>
      <c r="D8" s="11"/>
      <c r="E8" s="5">
        <v>4</v>
      </c>
      <c r="F8" s="19">
        <v>48379</v>
      </c>
      <c r="G8" s="19">
        <v>17215</v>
      </c>
      <c r="H8" s="11"/>
      <c r="I8" s="5">
        <v>4</v>
      </c>
      <c r="J8" s="19">
        <v>24700</v>
      </c>
      <c r="K8" s="19">
        <v>0</v>
      </c>
      <c r="L8" s="1"/>
      <c r="M8" s="4" t="s">
        <v>22</v>
      </c>
      <c r="N8" s="20">
        <v>14000</v>
      </c>
      <c r="O8" s="11">
        <v>5000</v>
      </c>
      <c r="P8" s="1"/>
      <c r="Q8" s="1"/>
    </row>
    <row r="9" spans="1:17" ht="12.75" x14ac:dyDescent="0.2">
      <c r="A9" s="5">
        <v>5</v>
      </c>
      <c r="B9" s="19">
        <v>9004</v>
      </c>
      <c r="C9" s="19">
        <v>6830</v>
      </c>
      <c r="D9" s="11"/>
      <c r="E9" s="5">
        <v>5</v>
      </c>
      <c r="F9" s="19">
        <v>40165</v>
      </c>
      <c r="G9" s="19">
        <v>32225</v>
      </c>
      <c r="H9" s="11"/>
      <c r="I9" s="5">
        <v>5</v>
      </c>
      <c r="J9" s="19">
        <v>7300</v>
      </c>
      <c r="K9" s="19">
        <v>0</v>
      </c>
      <c r="L9" s="1"/>
      <c r="M9" s="4"/>
      <c r="N9" s="20"/>
      <c r="O9" s="11"/>
      <c r="P9" s="1"/>
      <c r="Q9" s="1"/>
    </row>
    <row r="10" spans="1:17" ht="12.75" x14ac:dyDescent="0.2">
      <c r="A10" s="5">
        <v>6</v>
      </c>
      <c r="B10" s="19">
        <v>5966</v>
      </c>
      <c r="C10" s="19">
        <v>5946</v>
      </c>
      <c r="D10" s="11"/>
      <c r="E10" s="5">
        <v>6</v>
      </c>
      <c r="F10" s="19">
        <v>68370</v>
      </c>
      <c r="G10" s="19">
        <v>20522</v>
      </c>
      <c r="H10" s="11"/>
      <c r="I10" s="5">
        <v>6</v>
      </c>
      <c r="J10" s="19">
        <v>28100</v>
      </c>
      <c r="K10" s="19">
        <v>0</v>
      </c>
      <c r="L10" s="11"/>
      <c r="M10" s="19"/>
      <c r="N10" s="20"/>
      <c r="O10" s="11"/>
      <c r="P10" s="1"/>
      <c r="Q10" s="1"/>
    </row>
    <row r="11" spans="1:17" ht="12.75" x14ac:dyDescent="0.2">
      <c r="A11" s="5">
        <v>7</v>
      </c>
      <c r="B11" s="19">
        <v>2782</v>
      </c>
      <c r="C11" s="19">
        <v>1491</v>
      </c>
      <c r="D11" s="11"/>
      <c r="E11" s="5">
        <v>7</v>
      </c>
      <c r="F11" s="19">
        <v>58799</v>
      </c>
      <c r="G11" s="19">
        <v>38598</v>
      </c>
      <c r="H11" s="11"/>
      <c r="I11" s="5">
        <v>7</v>
      </c>
      <c r="J11" s="19">
        <v>46300</v>
      </c>
      <c r="K11" s="19">
        <v>0</v>
      </c>
      <c r="L11" s="11"/>
      <c r="M11" s="19" t="s">
        <v>29</v>
      </c>
      <c r="N11" s="20">
        <v>20000</v>
      </c>
      <c r="O11" s="40">
        <v>7000</v>
      </c>
      <c r="P11" s="1"/>
      <c r="Q11" s="1"/>
    </row>
    <row r="12" spans="1:17" ht="12.75" x14ac:dyDescent="0.2">
      <c r="A12" s="5">
        <v>8</v>
      </c>
      <c r="B12" s="19">
        <v>0</v>
      </c>
      <c r="C12" s="19">
        <v>0</v>
      </c>
      <c r="D12" s="11"/>
      <c r="E12" s="5">
        <v>8</v>
      </c>
      <c r="F12" s="19">
        <v>28915</v>
      </c>
      <c r="G12" s="19">
        <v>28924</v>
      </c>
      <c r="H12" s="11"/>
      <c r="I12" s="5">
        <v>8</v>
      </c>
      <c r="J12" s="19">
        <v>28000</v>
      </c>
      <c r="K12" s="19">
        <v>0</v>
      </c>
      <c r="L12" s="11"/>
      <c r="M12" s="19" t="s">
        <v>74</v>
      </c>
      <c r="N12" s="20">
        <v>15300</v>
      </c>
      <c r="O12" s="11">
        <v>5000</v>
      </c>
      <c r="P12" s="1"/>
      <c r="Q12" s="1"/>
    </row>
    <row r="13" spans="1:17" ht="12.75" x14ac:dyDescent="0.2">
      <c r="A13" s="5">
        <v>9</v>
      </c>
      <c r="B13" s="19">
        <v>3310</v>
      </c>
      <c r="C13" s="19">
        <v>3110</v>
      </c>
      <c r="D13" s="11"/>
      <c r="E13" s="5">
        <v>9</v>
      </c>
      <c r="F13" s="19">
        <v>48791</v>
      </c>
      <c r="G13" s="19">
        <v>23626</v>
      </c>
      <c r="H13" s="11"/>
      <c r="I13" s="5">
        <v>9</v>
      </c>
      <c r="J13" s="19">
        <v>4200</v>
      </c>
      <c r="K13" s="19">
        <v>0</v>
      </c>
      <c r="L13" s="11"/>
      <c r="M13" s="19" t="s">
        <v>87</v>
      </c>
      <c r="N13" s="19">
        <v>15630</v>
      </c>
      <c r="O13" s="11">
        <v>5000</v>
      </c>
      <c r="P13" s="1"/>
      <c r="Q13" s="1"/>
    </row>
    <row r="14" spans="1:17" ht="12.75" x14ac:dyDescent="0.2">
      <c r="A14" s="5">
        <v>10</v>
      </c>
      <c r="B14" s="19">
        <v>5874</v>
      </c>
      <c r="C14" s="19">
        <v>3875</v>
      </c>
      <c r="D14" s="11"/>
      <c r="E14" s="5">
        <v>10</v>
      </c>
      <c r="F14" s="19">
        <v>50063</v>
      </c>
      <c r="G14" s="19">
        <v>24652</v>
      </c>
      <c r="H14" s="11"/>
      <c r="I14" s="5">
        <v>10</v>
      </c>
      <c r="J14" s="19">
        <v>1400</v>
      </c>
      <c r="K14" s="19">
        <v>0</v>
      </c>
      <c r="L14" s="1"/>
      <c r="M14" s="19" t="s">
        <v>134</v>
      </c>
      <c r="N14" s="19">
        <v>17000</v>
      </c>
      <c r="O14" s="11">
        <v>6000</v>
      </c>
      <c r="P14" s="1"/>
      <c r="Q14" s="1"/>
    </row>
    <row r="15" spans="1:17" ht="12.75" x14ac:dyDescent="0.2">
      <c r="A15" s="5">
        <v>11</v>
      </c>
      <c r="B15" s="19">
        <v>5871</v>
      </c>
      <c r="C15" s="19">
        <v>4908</v>
      </c>
      <c r="D15" s="11"/>
      <c r="E15" s="5">
        <v>11</v>
      </c>
      <c r="F15" s="19">
        <v>50818</v>
      </c>
      <c r="G15" s="19">
        <v>18842</v>
      </c>
      <c r="H15" s="11"/>
      <c r="I15" s="5">
        <v>11</v>
      </c>
      <c r="J15" s="19">
        <v>6000</v>
      </c>
      <c r="K15" s="19">
        <v>0</v>
      </c>
      <c r="L15" s="1"/>
      <c r="M15" s="12" t="s">
        <v>79</v>
      </c>
      <c r="N15" s="13">
        <f>SUM(N4:N14)</f>
        <v>152810</v>
      </c>
      <c r="O15" s="1"/>
      <c r="P15" s="1"/>
      <c r="Q15" s="1"/>
    </row>
    <row r="16" spans="1:17" ht="12.75" x14ac:dyDescent="0.2">
      <c r="A16" s="5">
        <v>12</v>
      </c>
      <c r="B16" s="19">
        <v>3726</v>
      </c>
      <c r="C16" s="19">
        <v>3163</v>
      </c>
      <c r="D16" s="11"/>
      <c r="E16" s="5">
        <v>12</v>
      </c>
      <c r="F16" s="19">
        <v>37110</v>
      </c>
      <c r="G16" s="19">
        <v>30792</v>
      </c>
      <c r="H16" s="11"/>
      <c r="I16" s="5">
        <v>12</v>
      </c>
      <c r="J16" s="19">
        <v>11000</v>
      </c>
      <c r="K16" s="19">
        <v>0</v>
      </c>
      <c r="L16" s="1"/>
      <c r="M16" s="25"/>
      <c r="N16" s="6"/>
      <c r="O16" s="1"/>
      <c r="P16" s="1"/>
      <c r="Q16" s="1"/>
    </row>
    <row r="17" spans="1:19" ht="12.75" x14ac:dyDescent="0.2">
      <c r="A17" s="5">
        <v>13</v>
      </c>
      <c r="B17" s="19">
        <v>1562</v>
      </c>
      <c r="C17" s="19">
        <v>1542</v>
      </c>
      <c r="D17" s="11"/>
      <c r="E17" s="5">
        <v>13</v>
      </c>
      <c r="F17" s="19">
        <v>70518</v>
      </c>
      <c r="G17" s="19">
        <v>33042</v>
      </c>
      <c r="H17" s="11"/>
      <c r="I17" s="5">
        <v>13</v>
      </c>
      <c r="J17" s="19">
        <v>10200</v>
      </c>
      <c r="K17" s="19">
        <v>0</v>
      </c>
      <c r="L17" s="1"/>
      <c r="M17" s="78" t="s">
        <v>37</v>
      </c>
      <c r="N17" s="79"/>
      <c r="O17" s="1"/>
      <c r="P17" s="80" t="s">
        <v>38</v>
      </c>
      <c r="Q17" s="79"/>
    </row>
    <row r="18" spans="1:19" ht="12.75" x14ac:dyDescent="0.2">
      <c r="A18" s="5">
        <v>14</v>
      </c>
      <c r="B18" s="19">
        <v>3885</v>
      </c>
      <c r="C18" s="19">
        <v>2921</v>
      </c>
      <c r="D18" s="11"/>
      <c r="E18" s="5">
        <v>14</v>
      </c>
      <c r="F18" s="19">
        <v>65693</v>
      </c>
      <c r="G18" s="19">
        <v>20040</v>
      </c>
      <c r="H18" s="11"/>
      <c r="I18" s="5">
        <v>14</v>
      </c>
      <c r="J18" s="19">
        <v>4500</v>
      </c>
      <c r="K18" s="19">
        <v>0</v>
      </c>
      <c r="L18" s="1"/>
      <c r="M18" s="2" t="s">
        <v>39</v>
      </c>
      <c r="N18" s="3" t="s">
        <v>6</v>
      </c>
      <c r="O18" s="1"/>
      <c r="P18" s="2" t="s">
        <v>5</v>
      </c>
      <c r="Q18" s="3" t="s">
        <v>6</v>
      </c>
    </row>
    <row r="19" spans="1:19" ht="12.75" x14ac:dyDescent="0.2">
      <c r="A19" s="5">
        <v>15</v>
      </c>
      <c r="B19" s="19">
        <v>0</v>
      </c>
      <c r="C19" s="19">
        <v>0</v>
      </c>
      <c r="D19" s="11"/>
      <c r="E19" s="5">
        <v>15</v>
      </c>
      <c r="F19" s="19">
        <v>33236</v>
      </c>
      <c r="G19" s="19">
        <v>18731</v>
      </c>
      <c r="H19" s="11"/>
      <c r="I19" s="5">
        <v>15</v>
      </c>
      <c r="J19" s="19">
        <v>4300</v>
      </c>
      <c r="K19" s="19">
        <v>0</v>
      </c>
      <c r="L19" s="1"/>
      <c r="M19" s="4" t="s">
        <v>41</v>
      </c>
      <c r="N19" s="20">
        <v>100000</v>
      </c>
      <c r="O19" s="1"/>
      <c r="P19" s="4" t="s">
        <v>42</v>
      </c>
      <c r="Q19" s="5">
        <f>B35+F35+J35</f>
        <v>1959383</v>
      </c>
      <c r="S19" s="42">
        <f>Q21/Q19</f>
        <v>0.27571026185283837</v>
      </c>
    </row>
    <row r="20" spans="1:19" ht="12.75" x14ac:dyDescent="0.2">
      <c r="A20" s="5">
        <v>16</v>
      </c>
      <c r="B20" s="19">
        <v>2430</v>
      </c>
      <c r="C20" s="19">
        <v>1953</v>
      </c>
      <c r="D20" s="11"/>
      <c r="E20" s="5">
        <v>16</v>
      </c>
      <c r="F20" s="19">
        <v>51914</v>
      </c>
      <c r="G20" s="19">
        <v>51078</v>
      </c>
      <c r="H20" s="11"/>
      <c r="I20" s="5">
        <v>16</v>
      </c>
      <c r="J20" s="19">
        <v>19500</v>
      </c>
      <c r="K20" s="19">
        <v>0</v>
      </c>
      <c r="L20" s="11"/>
      <c r="M20" s="4" t="s">
        <v>43</v>
      </c>
      <c r="N20" s="19">
        <v>75897</v>
      </c>
      <c r="O20" s="1"/>
      <c r="P20" s="4" t="s">
        <v>44</v>
      </c>
      <c r="Q20" s="5">
        <f>C35+G35+K35+N15+N30+N55</f>
        <v>1419161</v>
      </c>
    </row>
    <row r="21" spans="1:19" ht="12.75" x14ac:dyDescent="0.2">
      <c r="A21" s="5">
        <v>17</v>
      </c>
      <c r="B21" s="19">
        <v>3993</v>
      </c>
      <c r="C21" s="19">
        <v>2659</v>
      </c>
      <c r="D21" s="11"/>
      <c r="E21" s="5">
        <v>17</v>
      </c>
      <c r="F21" s="19">
        <v>36933</v>
      </c>
      <c r="G21" s="19">
        <v>35875</v>
      </c>
      <c r="H21" s="11"/>
      <c r="I21" s="5">
        <v>17</v>
      </c>
      <c r="J21" s="19">
        <v>9000</v>
      </c>
      <c r="K21" s="19">
        <v>0</v>
      </c>
      <c r="L21" s="1"/>
      <c r="M21" s="4" t="s">
        <v>46</v>
      </c>
      <c r="N21" s="20">
        <v>3000</v>
      </c>
      <c r="O21" s="1"/>
      <c r="P21" s="26" t="s">
        <v>47</v>
      </c>
      <c r="Q21" s="27">
        <f>Q19-Q20</f>
        <v>540222</v>
      </c>
    </row>
    <row r="22" spans="1:19" ht="12.75" x14ac:dyDescent="0.2">
      <c r="A22" s="5">
        <v>18</v>
      </c>
      <c r="B22" s="19">
        <v>4141</v>
      </c>
      <c r="C22" s="19">
        <v>2742</v>
      </c>
      <c r="D22" s="11"/>
      <c r="E22" s="5">
        <v>18</v>
      </c>
      <c r="F22" s="19">
        <v>40942</v>
      </c>
      <c r="G22" s="19">
        <v>16480</v>
      </c>
      <c r="H22" s="11"/>
      <c r="I22" s="5">
        <v>18</v>
      </c>
      <c r="J22" s="19">
        <v>7000</v>
      </c>
      <c r="K22" s="19">
        <v>0</v>
      </c>
      <c r="L22" s="1"/>
      <c r="M22" s="70" t="s">
        <v>166</v>
      </c>
      <c r="N22" s="19">
        <v>21186</v>
      </c>
      <c r="O22" s="1"/>
      <c r="P22" s="4" t="s">
        <v>49</v>
      </c>
      <c r="Q22" s="20">
        <v>45000</v>
      </c>
    </row>
    <row r="23" spans="1:19" ht="12.75" x14ac:dyDescent="0.2">
      <c r="A23" s="5">
        <v>19</v>
      </c>
      <c r="B23" s="20">
        <v>4210</v>
      </c>
      <c r="C23" s="67">
        <v>1405</v>
      </c>
      <c r="D23" s="11"/>
      <c r="E23" s="5">
        <v>19</v>
      </c>
      <c r="F23" s="19">
        <v>43058</v>
      </c>
      <c r="G23" s="19">
        <v>31651</v>
      </c>
      <c r="H23" s="11"/>
      <c r="I23" s="5">
        <v>19</v>
      </c>
      <c r="J23" s="19">
        <v>16400</v>
      </c>
      <c r="K23" s="19">
        <v>0</v>
      </c>
      <c r="L23" s="1"/>
      <c r="M23" s="4" t="s">
        <v>50</v>
      </c>
      <c r="N23" s="20">
        <v>2490</v>
      </c>
      <c r="O23" s="1"/>
      <c r="P23" s="11" t="s">
        <v>133</v>
      </c>
      <c r="Q23" s="1">
        <f>C35+G35+K35</f>
        <v>882428</v>
      </c>
    </row>
    <row r="24" spans="1:19" ht="12.75" x14ac:dyDescent="0.2">
      <c r="A24" s="5">
        <v>20</v>
      </c>
      <c r="B24" s="19">
        <v>5337</v>
      </c>
      <c r="C24" s="19">
        <v>5309</v>
      </c>
      <c r="D24" s="11"/>
      <c r="E24" s="5">
        <v>20</v>
      </c>
      <c r="F24" s="19">
        <v>68301</v>
      </c>
      <c r="G24" s="19">
        <v>24979</v>
      </c>
      <c r="H24" s="11"/>
      <c r="I24" s="5">
        <v>20</v>
      </c>
      <c r="J24" s="19">
        <v>3000</v>
      </c>
      <c r="K24" s="19">
        <v>0</v>
      </c>
      <c r="L24" s="1"/>
      <c r="M24" s="4" t="s">
        <v>51</v>
      </c>
      <c r="N24" s="20">
        <v>5000</v>
      </c>
      <c r="O24" s="1"/>
      <c r="P24" s="1"/>
      <c r="Q24" s="1"/>
    </row>
    <row r="25" spans="1:19" ht="12.75" x14ac:dyDescent="0.2">
      <c r="A25" s="5">
        <v>21</v>
      </c>
      <c r="B25" s="19">
        <v>5418</v>
      </c>
      <c r="C25" s="19">
        <v>3326</v>
      </c>
      <c r="D25" s="11"/>
      <c r="E25" s="5">
        <v>21</v>
      </c>
      <c r="F25" s="19">
        <v>66060</v>
      </c>
      <c r="G25" s="19">
        <v>36281</v>
      </c>
      <c r="H25" s="11"/>
      <c r="I25" s="5">
        <v>21</v>
      </c>
      <c r="J25" s="19">
        <v>5500</v>
      </c>
      <c r="K25" s="19">
        <v>0</v>
      </c>
      <c r="L25" s="11"/>
      <c r="M25" s="71" t="s">
        <v>171</v>
      </c>
      <c r="N25" s="19">
        <v>55000</v>
      </c>
      <c r="O25" s="1"/>
      <c r="P25" s="1"/>
      <c r="Q25" s="1"/>
    </row>
    <row r="26" spans="1:19" ht="12.75" x14ac:dyDescent="0.2">
      <c r="A26" s="5">
        <v>22</v>
      </c>
      <c r="B26" s="19">
        <v>0</v>
      </c>
      <c r="C26" s="19">
        <v>0</v>
      </c>
      <c r="D26" s="11"/>
      <c r="E26" s="5">
        <v>22</v>
      </c>
      <c r="F26" s="19">
        <v>31536</v>
      </c>
      <c r="G26" s="19">
        <v>16365</v>
      </c>
      <c r="H26" s="11"/>
      <c r="I26" s="5">
        <v>22</v>
      </c>
      <c r="J26" s="19">
        <v>3700</v>
      </c>
      <c r="K26" s="19">
        <v>0</v>
      </c>
      <c r="L26" s="1"/>
      <c r="M26" s="19" t="s">
        <v>172</v>
      </c>
      <c r="N26" s="19">
        <v>10000</v>
      </c>
      <c r="O26" s="1"/>
      <c r="P26" s="1"/>
      <c r="Q26" s="1"/>
    </row>
    <row r="27" spans="1:19" ht="15.75" customHeight="1" x14ac:dyDescent="0.4">
      <c r="A27" s="5">
        <v>23</v>
      </c>
      <c r="B27" s="19">
        <v>4647</v>
      </c>
      <c r="C27" s="19">
        <v>1963</v>
      </c>
      <c r="D27" s="11"/>
      <c r="E27" s="5">
        <v>23</v>
      </c>
      <c r="F27" s="19">
        <v>45639</v>
      </c>
      <c r="G27" s="19">
        <v>28871</v>
      </c>
      <c r="H27" s="11"/>
      <c r="I27" s="5">
        <v>23</v>
      </c>
      <c r="J27" s="19">
        <v>11000</v>
      </c>
      <c r="K27" s="19">
        <v>0</v>
      </c>
      <c r="L27" s="1"/>
      <c r="M27" s="19"/>
      <c r="N27" s="19"/>
      <c r="O27" s="1"/>
      <c r="P27" s="19" t="s">
        <v>139</v>
      </c>
      <c r="Q27" s="63">
        <f>(N15+N55)-Z17</f>
        <v>264160</v>
      </c>
    </row>
    <row r="28" spans="1:19" ht="15.75" customHeight="1" x14ac:dyDescent="0.4">
      <c r="A28" s="5">
        <v>24</v>
      </c>
      <c r="B28" s="19">
        <v>2265</v>
      </c>
      <c r="C28" s="19">
        <v>1720</v>
      </c>
      <c r="D28" s="11"/>
      <c r="E28" s="5">
        <v>24</v>
      </c>
      <c r="F28" s="19">
        <v>58505</v>
      </c>
      <c r="G28" s="19">
        <v>31210</v>
      </c>
      <c r="H28" s="11"/>
      <c r="I28" s="5">
        <v>24</v>
      </c>
      <c r="J28" s="19">
        <v>10100</v>
      </c>
      <c r="K28" s="19">
        <v>0</v>
      </c>
      <c r="L28" s="1"/>
      <c r="M28" s="4"/>
      <c r="N28" s="4"/>
      <c r="O28" s="1"/>
      <c r="P28" s="19" t="s">
        <v>140</v>
      </c>
      <c r="Q28" s="64">
        <f>O45</f>
        <v>88000</v>
      </c>
    </row>
    <row r="29" spans="1:19" ht="12.75" x14ac:dyDescent="0.2">
      <c r="A29" s="5">
        <v>25</v>
      </c>
      <c r="B29" s="19">
        <v>2978</v>
      </c>
      <c r="C29" s="19">
        <v>1784</v>
      </c>
      <c r="D29" s="11"/>
      <c r="E29" s="5">
        <v>25</v>
      </c>
      <c r="F29" s="19">
        <v>55722</v>
      </c>
      <c r="G29" s="19">
        <v>16289</v>
      </c>
      <c r="H29" s="11"/>
      <c r="I29" s="5">
        <v>25</v>
      </c>
      <c r="J29" s="19">
        <v>6800</v>
      </c>
      <c r="K29" s="19">
        <v>0</v>
      </c>
      <c r="L29" s="1"/>
      <c r="M29" s="4"/>
      <c r="N29" s="4"/>
      <c r="O29" s="1"/>
      <c r="P29" s="19" t="s">
        <v>141</v>
      </c>
      <c r="Q29" s="4">
        <f>Q27-Q28</f>
        <v>176160</v>
      </c>
    </row>
    <row r="30" spans="1:19" ht="12.75" x14ac:dyDescent="0.2">
      <c r="A30" s="5">
        <v>26</v>
      </c>
      <c r="B30" s="19">
        <v>2540</v>
      </c>
      <c r="C30" s="19">
        <v>2301</v>
      </c>
      <c r="D30" s="11"/>
      <c r="E30" s="5">
        <v>26</v>
      </c>
      <c r="F30" s="19">
        <v>34562</v>
      </c>
      <c r="G30" s="19">
        <v>22794</v>
      </c>
      <c r="H30" s="11"/>
      <c r="I30" s="5">
        <v>26</v>
      </c>
      <c r="J30" s="19">
        <v>4800</v>
      </c>
      <c r="K30" s="19">
        <v>0</v>
      </c>
      <c r="L30" s="1"/>
      <c r="M30" s="12" t="s">
        <v>36</v>
      </c>
      <c r="N30" s="13">
        <f>SUM(N19:N29)</f>
        <v>272573</v>
      </c>
      <c r="O30" s="1"/>
      <c r="P30" s="1"/>
      <c r="Q30" s="11"/>
    </row>
    <row r="31" spans="1:19" ht="12.75" x14ac:dyDescent="0.2">
      <c r="A31" s="5">
        <v>27</v>
      </c>
      <c r="B31" s="19">
        <v>2610</v>
      </c>
      <c r="C31" s="19">
        <v>1386</v>
      </c>
      <c r="D31" s="11"/>
      <c r="E31" s="5">
        <v>27</v>
      </c>
      <c r="F31" s="19">
        <v>61586</v>
      </c>
      <c r="G31" s="19">
        <v>25523</v>
      </c>
      <c r="H31" s="11"/>
      <c r="I31" s="5">
        <v>27</v>
      </c>
      <c r="J31" s="19">
        <v>20100</v>
      </c>
      <c r="K31" s="19">
        <v>0</v>
      </c>
      <c r="L31" s="1"/>
      <c r="M31" s="1"/>
      <c r="N31" s="1"/>
      <c r="O31" s="1"/>
      <c r="P31" s="1"/>
      <c r="Q31" s="1"/>
    </row>
    <row r="32" spans="1:19" ht="12.75" x14ac:dyDescent="0.2">
      <c r="A32" s="5">
        <v>28</v>
      </c>
      <c r="B32" s="19">
        <v>2780</v>
      </c>
      <c r="C32" s="19">
        <v>1288</v>
      </c>
      <c r="D32" s="11"/>
      <c r="E32" s="5">
        <v>28</v>
      </c>
      <c r="F32" s="19">
        <v>46820</v>
      </c>
      <c r="G32" s="19">
        <v>21268</v>
      </c>
      <c r="H32" s="1"/>
      <c r="I32" s="5">
        <v>28</v>
      </c>
      <c r="J32" s="19">
        <v>3200</v>
      </c>
      <c r="K32" s="19">
        <v>0</v>
      </c>
      <c r="L32" s="1"/>
      <c r="M32" s="81" t="s">
        <v>53</v>
      </c>
      <c r="N32" s="79"/>
      <c r="O32" s="1"/>
      <c r="P32" s="1"/>
      <c r="Q32" s="1"/>
    </row>
    <row r="33" spans="1:17" ht="12.75" x14ac:dyDescent="0.2">
      <c r="A33" s="5">
        <v>29</v>
      </c>
      <c r="B33" s="19">
        <v>0</v>
      </c>
      <c r="C33" s="19">
        <v>0</v>
      </c>
      <c r="D33" s="11"/>
      <c r="E33" s="5">
        <v>29</v>
      </c>
      <c r="F33" s="19">
        <v>44336</v>
      </c>
      <c r="G33" s="19">
        <v>35510</v>
      </c>
      <c r="H33" s="1"/>
      <c r="I33" s="5">
        <v>29</v>
      </c>
      <c r="J33" s="19">
        <v>4100</v>
      </c>
      <c r="K33" s="19">
        <v>0</v>
      </c>
      <c r="L33" s="1"/>
      <c r="M33" s="2" t="s">
        <v>39</v>
      </c>
      <c r="N33" s="3" t="s">
        <v>6</v>
      </c>
      <c r="O33" s="1"/>
      <c r="P33" s="1"/>
      <c r="Q33" s="1"/>
    </row>
    <row r="34" spans="1:17" ht="12.75" x14ac:dyDescent="0.2">
      <c r="A34" s="5">
        <v>30</v>
      </c>
      <c r="B34" s="19">
        <v>3110</v>
      </c>
      <c r="C34" s="19">
        <v>1834</v>
      </c>
      <c r="D34" s="11"/>
      <c r="E34" s="5">
        <v>30</v>
      </c>
      <c r="F34" s="19">
        <v>45405</v>
      </c>
      <c r="G34" s="19">
        <v>27452</v>
      </c>
      <c r="H34" s="1"/>
      <c r="I34" s="5">
        <v>30</v>
      </c>
      <c r="J34" s="19">
        <v>9000</v>
      </c>
      <c r="K34" s="19">
        <v>0</v>
      </c>
      <c r="L34" s="11"/>
      <c r="M34" s="19" t="s">
        <v>157</v>
      </c>
      <c r="N34" s="19">
        <v>14000</v>
      </c>
      <c r="O34" s="11">
        <v>5000</v>
      </c>
      <c r="P34" s="1"/>
      <c r="Q34" s="1"/>
    </row>
    <row r="35" spans="1:17" ht="12.75" x14ac:dyDescent="0.2">
      <c r="A35" s="12" t="s">
        <v>36</v>
      </c>
      <c r="B35" s="13">
        <f t="shared" ref="B35:C35" si="0">SUM(B5:B34)+B37</f>
        <v>120690</v>
      </c>
      <c r="C35" s="13">
        <f t="shared" si="0"/>
        <v>77587</v>
      </c>
      <c r="D35" s="1"/>
      <c r="E35" s="12" t="s">
        <v>36</v>
      </c>
      <c r="F35" s="13">
        <f t="shared" ref="F35:G35" si="1">SUM(F5:F34)+F37</f>
        <v>1495975</v>
      </c>
      <c r="G35" s="13">
        <f t="shared" si="1"/>
        <v>804841</v>
      </c>
      <c r="H35" s="1"/>
      <c r="I35" s="12" t="s">
        <v>36</v>
      </c>
      <c r="J35" s="13">
        <f t="shared" ref="J35:K35" si="2">SUM(J5:J34)+J37</f>
        <v>342718</v>
      </c>
      <c r="K35" s="13">
        <f t="shared" si="2"/>
        <v>0</v>
      </c>
      <c r="L35" s="11"/>
      <c r="M35" s="19" t="s">
        <v>102</v>
      </c>
      <c r="N35" s="19">
        <v>25000</v>
      </c>
      <c r="O35" s="11">
        <v>9000</v>
      </c>
      <c r="P35" s="1"/>
      <c r="Q35" s="1"/>
    </row>
    <row r="36" spans="1:17" ht="12.75" x14ac:dyDescent="0.2">
      <c r="A36" s="3" t="s">
        <v>56</v>
      </c>
      <c r="B36" s="82">
        <f>B35-C35</f>
        <v>43103</v>
      </c>
      <c r="C36" s="79"/>
      <c r="D36" s="1"/>
      <c r="E36" s="3" t="s">
        <v>56</v>
      </c>
      <c r="F36" s="82">
        <f>F35-G35</f>
        <v>691134</v>
      </c>
      <c r="G36" s="79"/>
      <c r="H36" s="1"/>
      <c r="I36" s="3" t="s">
        <v>56</v>
      </c>
      <c r="J36" s="82">
        <f>J35-K35</f>
        <v>342718</v>
      </c>
      <c r="K36" s="79"/>
      <c r="M36" s="19" t="s">
        <v>112</v>
      </c>
      <c r="N36" s="19">
        <v>13000</v>
      </c>
      <c r="O36" s="11">
        <v>4000</v>
      </c>
      <c r="P36" s="1"/>
      <c r="Q36" s="1"/>
    </row>
    <row r="37" spans="1:17" ht="12.75" x14ac:dyDescent="0.2">
      <c r="A37" s="5">
        <v>31</v>
      </c>
      <c r="B37" s="19">
        <v>835</v>
      </c>
      <c r="C37" s="19">
        <v>822</v>
      </c>
      <c r="D37" s="11"/>
      <c r="E37" s="5">
        <v>31</v>
      </c>
      <c r="F37" s="19">
        <v>53180</v>
      </c>
      <c r="G37" s="19">
        <v>8330</v>
      </c>
      <c r="H37" s="1"/>
      <c r="I37" s="5">
        <v>31</v>
      </c>
      <c r="J37" s="19">
        <v>5300</v>
      </c>
      <c r="K37" s="19">
        <v>0</v>
      </c>
      <c r="L37" s="60"/>
      <c r="M37" s="19" t="s">
        <v>142</v>
      </c>
      <c r="N37" s="19">
        <v>14000</v>
      </c>
      <c r="O37" s="11">
        <v>5000</v>
      </c>
      <c r="P37" s="1"/>
      <c r="Q37" s="1"/>
    </row>
    <row r="38" spans="1:17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4" t="s">
        <v>144</v>
      </c>
      <c r="N38" s="54">
        <v>11000</v>
      </c>
      <c r="O38" s="11">
        <v>4000</v>
      </c>
      <c r="P38" s="1">
        <f>C47-C48-Z17-N26-N27</f>
        <v>1066955</v>
      </c>
      <c r="Q38" s="1"/>
    </row>
    <row r="39" spans="1:17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1"/>
      <c r="M39" s="19" t="s">
        <v>162</v>
      </c>
      <c r="N39" s="19">
        <v>11000</v>
      </c>
      <c r="O39" s="11">
        <v>4000</v>
      </c>
      <c r="P39" s="1"/>
      <c r="Q39" s="1"/>
    </row>
    <row r="40" spans="1:1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1"/>
      <c r="M40" s="19" t="s">
        <v>149</v>
      </c>
      <c r="N40" s="19">
        <v>12000</v>
      </c>
      <c r="O40" s="11">
        <v>4000</v>
      </c>
      <c r="P40" s="1"/>
      <c r="Q40" s="1"/>
    </row>
    <row r="41" spans="1:17" ht="12.75" x14ac:dyDescent="0.2">
      <c r="A41" s="1"/>
      <c r="B41" s="1"/>
      <c r="C41" s="1"/>
      <c r="D41" s="1"/>
      <c r="E41" s="1"/>
      <c r="F41" s="1"/>
      <c r="G41" s="83" t="s">
        <v>130</v>
      </c>
      <c r="H41" s="79"/>
      <c r="I41" s="1"/>
      <c r="J41" s="1"/>
      <c r="K41" s="1"/>
      <c r="L41" s="11" t="s">
        <v>173</v>
      </c>
      <c r="M41" s="19" t="s">
        <v>174</v>
      </c>
      <c r="N41" s="19">
        <v>6400</v>
      </c>
      <c r="O41" s="11" t="s">
        <v>175</v>
      </c>
      <c r="P41" s="1"/>
      <c r="Q41" s="1"/>
    </row>
    <row r="42" spans="1:17" ht="12.75" x14ac:dyDescent="0.2">
      <c r="A42" s="1"/>
      <c r="B42" s="1"/>
      <c r="C42" s="1"/>
      <c r="D42" s="1"/>
      <c r="E42" s="1"/>
      <c r="F42" s="1"/>
      <c r="G42" s="19" t="s">
        <v>106</v>
      </c>
      <c r="H42" s="19" t="s">
        <v>131</v>
      </c>
      <c r="I42" s="1"/>
      <c r="J42" s="1"/>
      <c r="K42" s="1"/>
      <c r="L42" s="11" t="s">
        <v>176</v>
      </c>
      <c r="M42" s="19" t="s">
        <v>33</v>
      </c>
      <c r="N42" s="19">
        <v>4550</v>
      </c>
      <c r="O42" s="1"/>
      <c r="P42" s="1"/>
      <c r="Q42" s="1"/>
    </row>
    <row r="43" spans="1:17" ht="12.75" x14ac:dyDescent="0.2">
      <c r="A43" s="1"/>
      <c r="B43" s="1"/>
      <c r="C43" s="1"/>
      <c r="D43" s="1"/>
      <c r="E43" s="1"/>
      <c r="F43" s="1"/>
      <c r="G43" s="62"/>
      <c r="H43" s="19"/>
      <c r="I43" s="1"/>
      <c r="J43" s="1"/>
      <c r="K43" s="1"/>
      <c r="L43" s="1"/>
      <c r="M43" s="19" t="s">
        <v>177</v>
      </c>
      <c r="N43" s="19">
        <v>400</v>
      </c>
      <c r="O43" s="11"/>
      <c r="P43" s="1"/>
      <c r="Q43" s="1"/>
    </row>
    <row r="44" spans="1:17" ht="12.75" x14ac:dyDescent="0.2">
      <c r="A44" s="1"/>
      <c r="B44" s="1"/>
      <c r="C44" s="1"/>
      <c r="D44" s="1"/>
      <c r="E44" s="1"/>
      <c r="F44" s="1"/>
      <c r="G44" s="62"/>
      <c r="H44" s="19"/>
      <c r="I44" s="1"/>
      <c r="J44" s="1"/>
      <c r="K44" s="1"/>
      <c r="L44" s="1"/>
      <c r="M44" s="19"/>
      <c r="N44" s="19"/>
      <c r="O44" s="11"/>
      <c r="P44" s="1"/>
      <c r="Q44" s="1"/>
    </row>
    <row r="45" spans="1:17" ht="12.75" x14ac:dyDescent="0.2">
      <c r="A45" s="1"/>
      <c r="B45" s="1"/>
      <c r="C45" s="1"/>
      <c r="D45" s="1"/>
      <c r="E45" s="1"/>
      <c r="F45" s="1"/>
      <c r="G45" s="62"/>
      <c r="H45" s="19"/>
      <c r="I45" s="1"/>
      <c r="J45" s="1"/>
      <c r="K45" s="1"/>
      <c r="L45" s="1"/>
      <c r="M45" s="4"/>
      <c r="N45" s="4"/>
      <c r="O45" s="1">
        <f>SUM(O4:O44)</f>
        <v>88000</v>
      </c>
      <c r="P45" s="1"/>
      <c r="Q45" s="1"/>
    </row>
    <row r="46" spans="1:17" ht="12.75" x14ac:dyDescent="0.2">
      <c r="A46" s="1"/>
      <c r="B46" s="1"/>
      <c r="C46" s="1"/>
      <c r="D46" s="1"/>
      <c r="E46" s="1"/>
      <c r="F46" s="1"/>
      <c r="G46" s="62"/>
      <c r="H46" s="19"/>
      <c r="I46" s="1"/>
      <c r="J46" s="1"/>
      <c r="K46" s="1"/>
      <c r="L46" s="1"/>
      <c r="M46" s="4"/>
      <c r="N46" s="4"/>
      <c r="O46" s="1"/>
      <c r="P46" s="1"/>
      <c r="Q46" s="1"/>
    </row>
    <row r="47" spans="1:17" ht="12.75" x14ac:dyDescent="0.2">
      <c r="A47" s="1"/>
      <c r="B47" s="1"/>
      <c r="C47" s="1">
        <f>(B35+F35+J35)</f>
        <v>1959383</v>
      </c>
      <c r="D47" s="1"/>
      <c r="E47" s="1"/>
      <c r="F47" s="1"/>
      <c r="G47" s="62"/>
      <c r="H47" s="19"/>
      <c r="I47" s="1"/>
      <c r="J47" s="1"/>
      <c r="K47" s="1"/>
      <c r="L47" s="1"/>
      <c r="M47" s="4"/>
      <c r="N47" s="4"/>
      <c r="O47" s="1"/>
      <c r="P47" s="1"/>
      <c r="Q47" s="1"/>
    </row>
    <row r="48" spans="1:17" ht="12.75" x14ac:dyDescent="0.2">
      <c r="A48" s="1"/>
      <c r="B48" s="1"/>
      <c r="C48" s="42">
        <f>C35+G35</f>
        <v>882428</v>
      </c>
      <c r="D48" s="1"/>
      <c r="E48" s="1"/>
      <c r="F48" s="1"/>
      <c r="G48" s="62"/>
      <c r="H48" s="19"/>
      <c r="I48" s="1"/>
      <c r="J48" s="1"/>
      <c r="K48" s="1"/>
      <c r="L48" s="1"/>
      <c r="M48" s="4"/>
      <c r="N48" s="4"/>
      <c r="O48" s="1"/>
      <c r="P48" s="11">
        <v>105100</v>
      </c>
      <c r="Q48" s="1"/>
    </row>
    <row r="49" spans="1:17" ht="12.75" x14ac:dyDescent="0.2">
      <c r="A49" s="1"/>
      <c r="B49" s="1"/>
      <c r="C49" s="1">
        <f>C48/C47</f>
        <v>0.45036013888045368</v>
      </c>
      <c r="D49" s="1"/>
      <c r="E49" s="1"/>
      <c r="F49" s="1"/>
      <c r="G49" s="62"/>
      <c r="H49" s="19"/>
      <c r="I49" s="1"/>
      <c r="J49" s="1"/>
      <c r="K49" s="1"/>
      <c r="L49" s="1"/>
      <c r="M49" s="4"/>
      <c r="N49" s="4"/>
      <c r="O49" s="1"/>
      <c r="P49" s="1"/>
      <c r="Q49" s="1"/>
    </row>
    <row r="50" spans="1:17" ht="12.75" x14ac:dyDescent="0.2">
      <c r="A50" s="1"/>
      <c r="B50" s="1"/>
      <c r="C50" s="1"/>
      <c r="D50" s="1"/>
      <c r="E50" s="1"/>
      <c r="F50" s="1"/>
      <c r="G50" s="21"/>
      <c r="H50" s="19"/>
      <c r="I50" s="1"/>
      <c r="J50" s="1"/>
      <c r="K50" s="1"/>
      <c r="L50" s="1"/>
      <c r="M50" s="4"/>
      <c r="N50" s="4"/>
      <c r="O50" s="1"/>
      <c r="P50" s="1"/>
      <c r="Q50" s="1"/>
    </row>
    <row r="51" spans="1:17" ht="12.75" x14ac:dyDescent="0.2">
      <c r="A51" s="1"/>
      <c r="B51" s="1"/>
      <c r="C51" s="1"/>
      <c r="D51" s="1"/>
      <c r="E51" s="1"/>
      <c r="F51" s="1"/>
      <c r="G51" s="4"/>
      <c r="H51" s="4"/>
      <c r="I51" s="1"/>
      <c r="J51" s="1"/>
      <c r="K51" s="1"/>
      <c r="L51" s="1"/>
      <c r="M51" s="4"/>
      <c r="N51" s="4"/>
      <c r="O51" s="1"/>
      <c r="P51" s="1"/>
      <c r="Q51" s="1"/>
    </row>
    <row r="52" spans="1:1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4"/>
      <c r="O52" s="1"/>
      <c r="P52" s="1"/>
      <c r="Q52" s="1"/>
    </row>
    <row r="53" spans="1:1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4"/>
      <c r="O53" s="1"/>
      <c r="P53" s="1"/>
      <c r="Q53" s="1"/>
    </row>
    <row r="54" spans="1:1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4"/>
      <c r="O54" s="1"/>
      <c r="P54" s="1"/>
      <c r="Q54" s="1"/>
    </row>
    <row r="55" spans="1:1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 t="s">
        <v>36</v>
      </c>
      <c r="N55" s="5">
        <f>SUM(N34:N54)</f>
        <v>111350</v>
      </c>
      <c r="O55" s="1"/>
      <c r="P55" s="1"/>
      <c r="Q55" s="1"/>
    </row>
  </sheetData>
  <mergeCells count="12">
    <mergeCell ref="M17:N17"/>
    <mergeCell ref="P17:Q17"/>
    <mergeCell ref="A1:P1"/>
    <mergeCell ref="M2:N2"/>
    <mergeCell ref="A3:C3"/>
    <mergeCell ref="E3:G3"/>
    <mergeCell ref="I3:K3"/>
    <mergeCell ref="M32:N32"/>
    <mergeCell ref="B36:C36"/>
    <mergeCell ref="F36:G36"/>
    <mergeCell ref="J36:K36"/>
    <mergeCell ref="G41:H41"/>
  </mergeCells>
  <hyperlinks>
    <hyperlink ref="M22" r:id="rId1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S55"/>
  <sheetViews>
    <sheetView workbookViewId="0">
      <selection activeCell="Q21" sqref="Q21"/>
    </sheetView>
  </sheetViews>
  <sheetFormatPr defaultColWidth="12.5703125" defaultRowHeight="15.75" customHeight="1" x14ac:dyDescent="0.2"/>
  <cols>
    <col min="1" max="1" width="5.28515625" customWidth="1"/>
    <col min="2" max="2" width="6.42578125" customWidth="1"/>
    <col min="3" max="3" width="7.7109375" customWidth="1"/>
    <col min="4" max="4" width="5.140625" customWidth="1"/>
    <col min="5" max="5" width="5.42578125" customWidth="1"/>
    <col min="6" max="6" width="7.42578125" customWidth="1"/>
    <col min="7" max="7" width="6.5703125" customWidth="1"/>
    <col min="8" max="8" width="4.5703125" customWidth="1"/>
    <col min="9" max="9" width="5.42578125" customWidth="1"/>
    <col min="10" max="10" width="6.42578125" customWidth="1"/>
    <col min="11" max="11" width="6.5703125" customWidth="1"/>
    <col min="12" max="12" width="6.42578125" customWidth="1"/>
    <col min="13" max="13" width="12.5703125" customWidth="1"/>
    <col min="14" max="14" width="6.7109375" customWidth="1"/>
    <col min="15" max="15" width="5.5703125" customWidth="1"/>
    <col min="16" max="16" width="11.42578125" customWidth="1"/>
    <col min="17" max="17" width="7.42578125" customWidth="1"/>
  </cols>
  <sheetData>
    <row r="1" spans="1:17" ht="12.75" x14ac:dyDescent="0.2">
      <c r="A1" s="80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79"/>
      <c r="Q1" s="1"/>
    </row>
    <row r="2" spans="1:17" ht="12.7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5" t="s">
        <v>1</v>
      </c>
      <c r="N2" s="79"/>
      <c r="O2" s="1"/>
      <c r="P2" s="1"/>
      <c r="Q2" s="1"/>
    </row>
    <row r="3" spans="1:17" ht="12.75" x14ac:dyDescent="0.2">
      <c r="A3" s="86" t="s">
        <v>2</v>
      </c>
      <c r="B3" s="84"/>
      <c r="C3" s="79"/>
      <c r="D3" s="1"/>
      <c r="E3" s="87" t="s">
        <v>3</v>
      </c>
      <c r="F3" s="84"/>
      <c r="G3" s="79"/>
      <c r="H3" s="1"/>
      <c r="I3" s="88" t="s">
        <v>4</v>
      </c>
      <c r="J3" s="84"/>
      <c r="K3" s="79"/>
      <c r="L3" s="1"/>
      <c r="M3" s="2" t="s">
        <v>5</v>
      </c>
      <c r="N3" s="3" t="s">
        <v>6</v>
      </c>
      <c r="O3" s="1"/>
      <c r="P3" s="1"/>
      <c r="Q3" s="1"/>
    </row>
    <row r="4" spans="1:17" ht="12.75" x14ac:dyDescent="0.2">
      <c r="A4" s="4" t="s">
        <v>7</v>
      </c>
      <c r="B4" s="4" t="s">
        <v>8</v>
      </c>
      <c r="C4" s="4" t="s">
        <v>9</v>
      </c>
      <c r="D4" s="1"/>
      <c r="E4" s="4" t="s">
        <v>7</v>
      </c>
      <c r="F4" s="4" t="s">
        <v>8</v>
      </c>
      <c r="G4" s="4" t="s">
        <v>9</v>
      </c>
      <c r="H4" s="1"/>
      <c r="I4" s="4" t="s">
        <v>7</v>
      </c>
      <c r="J4" s="4" t="s">
        <v>8</v>
      </c>
      <c r="K4" s="4" t="s">
        <v>9</v>
      </c>
      <c r="L4" s="1"/>
      <c r="M4" s="16" t="s">
        <v>69</v>
      </c>
      <c r="N4" s="16">
        <v>20000</v>
      </c>
      <c r="O4" s="11">
        <v>7000</v>
      </c>
      <c r="P4" s="1"/>
      <c r="Q4" s="1"/>
    </row>
    <row r="5" spans="1:17" ht="12.75" x14ac:dyDescent="0.2">
      <c r="A5" s="5">
        <v>1</v>
      </c>
      <c r="B5" s="20">
        <v>4450</v>
      </c>
      <c r="C5" s="20">
        <v>2390</v>
      </c>
      <c r="D5" s="11"/>
      <c r="E5" s="5">
        <v>1</v>
      </c>
      <c r="F5" s="20">
        <v>51104</v>
      </c>
      <c r="G5" s="20">
        <v>20551</v>
      </c>
      <c r="H5" s="7"/>
      <c r="I5" s="5">
        <v>1</v>
      </c>
      <c r="J5" s="20">
        <v>40600</v>
      </c>
      <c r="K5" s="20">
        <v>0</v>
      </c>
      <c r="L5" s="1"/>
      <c r="M5" s="4" t="s">
        <v>12</v>
      </c>
      <c r="N5" s="20">
        <v>20000</v>
      </c>
      <c r="O5" s="11">
        <v>7000</v>
      </c>
      <c r="P5" s="1"/>
      <c r="Q5" s="1"/>
    </row>
    <row r="6" spans="1:17" ht="12.75" x14ac:dyDescent="0.2">
      <c r="A6" s="5">
        <v>2</v>
      </c>
      <c r="B6" s="20">
        <v>8010</v>
      </c>
      <c r="C6" s="20">
        <v>3296</v>
      </c>
      <c r="D6" s="29"/>
      <c r="E6" s="5">
        <v>2</v>
      </c>
      <c r="F6" s="20">
        <v>42150</v>
      </c>
      <c r="G6" s="20">
        <v>17157</v>
      </c>
      <c r="H6" s="7"/>
      <c r="I6" s="5">
        <v>2</v>
      </c>
      <c r="J6" s="20">
        <v>3700</v>
      </c>
      <c r="K6" s="20">
        <v>0</v>
      </c>
      <c r="L6" s="11"/>
      <c r="M6" s="4" t="s">
        <v>15</v>
      </c>
      <c r="N6" s="20">
        <v>18000</v>
      </c>
      <c r="O6" s="11">
        <v>6000</v>
      </c>
      <c r="P6" s="1"/>
      <c r="Q6" s="1"/>
    </row>
    <row r="7" spans="1:17" ht="12.75" x14ac:dyDescent="0.2">
      <c r="A7" s="5">
        <v>3</v>
      </c>
      <c r="B7" s="20">
        <v>5215</v>
      </c>
      <c r="C7" s="20">
        <v>1480</v>
      </c>
      <c r="D7" s="7"/>
      <c r="E7" s="5">
        <v>3</v>
      </c>
      <c r="F7" s="20">
        <v>76866</v>
      </c>
      <c r="G7" s="20">
        <v>25364</v>
      </c>
      <c r="H7" s="7"/>
      <c r="I7" s="5">
        <v>3</v>
      </c>
      <c r="J7" s="20">
        <v>10100</v>
      </c>
      <c r="K7" s="20">
        <v>0</v>
      </c>
      <c r="L7" s="11"/>
      <c r="M7" s="4"/>
      <c r="N7" s="20"/>
      <c r="O7" s="11"/>
      <c r="P7" s="1"/>
      <c r="Q7" s="1"/>
    </row>
    <row r="8" spans="1:17" ht="12.75" x14ac:dyDescent="0.2">
      <c r="A8" s="5">
        <v>4</v>
      </c>
      <c r="B8" s="19">
        <v>7515</v>
      </c>
      <c r="C8" s="19">
        <v>5531</v>
      </c>
      <c r="D8" s="11"/>
      <c r="E8" s="5">
        <v>4</v>
      </c>
      <c r="F8" s="19">
        <v>47422</v>
      </c>
      <c r="G8" s="19">
        <v>30327</v>
      </c>
      <c r="H8" s="11"/>
      <c r="I8" s="5">
        <v>4</v>
      </c>
      <c r="J8" s="19">
        <v>10700</v>
      </c>
      <c r="K8" s="19">
        <v>0</v>
      </c>
      <c r="L8" s="1"/>
      <c r="M8" s="4" t="s">
        <v>22</v>
      </c>
      <c r="N8" s="20">
        <v>17000</v>
      </c>
      <c r="O8" s="11">
        <v>6000</v>
      </c>
      <c r="P8" s="1"/>
      <c r="Q8" s="1"/>
    </row>
    <row r="9" spans="1:17" ht="12.75" x14ac:dyDescent="0.2">
      <c r="A9" s="5">
        <v>5</v>
      </c>
      <c r="B9" s="19">
        <v>0</v>
      </c>
      <c r="C9" s="19">
        <v>0</v>
      </c>
      <c r="D9" s="11"/>
      <c r="E9" s="5">
        <v>5</v>
      </c>
      <c r="F9" s="19">
        <v>32504</v>
      </c>
      <c r="G9" s="19">
        <v>25862</v>
      </c>
      <c r="H9" s="11"/>
      <c r="I9" s="5">
        <v>5</v>
      </c>
      <c r="J9" s="19">
        <v>3200</v>
      </c>
      <c r="K9" s="19">
        <v>0</v>
      </c>
      <c r="L9" s="1"/>
      <c r="M9" s="4"/>
      <c r="N9" s="20"/>
      <c r="O9" s="11"/>
      <c r="P9" s="1"/>
      <c r="Q9" s="1"/>
    </row>
    <row r="10" spans="1:17" ht="12.75" x14ac:dyDescent="0.2">
      <c r="A10" s="5">
        <v>6</v>
      </c>
      <c r="B10" s="19">
        <v>1524</v>
      </c>
      <c r="C10" s="19">
        <v>1487</v>
      </c>
      <c r="D10" s="11"/>
      <c r="E10" s="5">
        <v>6</v>
      </c>
      <c r="F10" s="19">
        <v>29977</v>
      </c>
      <c r="G10" s="19">
        <v>14631</v>
      </c>
      <c r="H10" s="11"/>
      <c r="I10" s="5">
        <v>6</v>
      </c>
      <c r="J10" s="19">
        <v>5600</v>
      </c>
      <c r="K10" s="19">
        <v>0</v>
      </c>
      <c r="L10" s="11"/>
      <c r="M10" s="19"/>
      <c r="N10" s="20"/>
      <c r="O10" s="11"/>
      <c r="P10" s="1"/>
      <c r="Q10" s="1"/>
    </row>
    <row r="11" spans="1:17" ht="12.75" x14ac:dyDescent="0.2">
      <c r="A11" s="5">
        <v>7</v>
      </c>
      <c r="B11" s="19">
        <v>3442</v>
      </c>
      <c r="C11" s="19">
        <v>3068</v>
      </c>
      <c r="D11" s="11"/>
      <c r="E11" s="5">
        <v>7</v>
      </c>
      <c r="F11" s="19">
        <v>38653</v>
      </c>
      <c r="G11" s="19">
        <v>26840</v>
      </c>
      <c r="H11" s="11"/>
      <c r="I11" s="5">
        <v>7</v>
      </c>
      <c r="J11" s="19">
        <v>15700</v>
      </c>
      <c r="K11" s="19">
        <v>0</v>
      </c>
      <c r="L11" s="11"/>
      <c r="M11" s="19" t="s">
        <v>29</v>
      </c>
      <c r="N11" s="20">
        <v>19000</v>
      </c>
      <c r="O11" s="40">
        <v>7000</v>
      </c>
      <c r="P11" s="1"/>
      <c r="Q11" s="1"/>
    </row>
    <row r="12" spans="1:17" ht="12.75" x14ac:dyDescent="0.2">
      <c r="A12" s="5">
        <v>8</v>
      </c>
      <c r="B12" s="19">
        <v>6055</v>
      </c>
      <c r="C12" s="19">
        <v>4273</v>
      </c>
      <c r="D12" s="11"/>
      <c r="E12" s="5">
        <v>8</v>
      </c>
      <c r="F12" s="19">
        <v>42509</v>
      </c>
      <c r="G12" s="19">
        <v>36441</v>
      </c>
      <c r="H12" s="11"/>
      <c r="I12" s="5">
        <v>8</v>
      </c>
      <c r="J12" s="19">
        <v>15400</v>
      </c>
      <c r="K12" s="19">
        <v>0</v>
      </c>
      <c r="L12" s="11"/>
      <c r="M12" s="19" t="s">
        <v>74</v>
      </c>
      <c r="N12" s="20">
        <v>15100</v>
      </c>
      <c r="O12" s="11">
        <v>5000</v>
      </c>
      <c r="P12" s="1"/>
      <c r="Q12" s="1"/>
    </row>
    <row r="13" spans="1:17" ht="12.75" x14ac:dyDescent="0.2">
      <c r="A13" s="5">
        <v>9</v>
      </c>
      <c r="B13" s="19">
        <v>3678</v>
      </c>
      <c r="C13" s="19">
        <v>2929</v>
      </c>
      <c r="D13" s="11"/>
      <c r="E13" s="5">
        <v>9</v>
      </c>
      <c r="F13" s="19">
        <v>30909</v>
      </c>
      <c r="G13" s="19">
        <v>24026</v>
      </c>
      <c r="H13" s="11"/>
      <c r="I13" s="5">
        <v>9</v>
      </c>
      <c r="J13" s="19">
        <v>8900</v>
      </c>
      <c r="K13" s="19">
        <v>0</v>
      </c>
      <c r="L13" s="11"/>
      <c r="M13" s="19" t="s">
        <v>87</v>
      </c>
      <c r="N13" s="19">
        <v>15560</v>
      </c>
      <c r="O13" s="11">
        <v>5000</v>
      </c>
      <c r="P13" s="1"/>
      <c r="Q13" s="1"/>
    </row>
    <row r="14" spans="1:17" ht="12.75" x14ac:dyDescent="0.2">
      <c r="A14" s="5">
        <v>10</v>
      </c>
      <c r="B14" s="19">
        <v>3530</v>
      </c>
      <c r="C14" s="19">
        <v>1133</v>
      </c>
      <c r="D14" s="11"/>
      <c r="E14" s="5">
        <v>10</v>
      </c>
      <c r="F14" s="19">
        <v>43438</v>
      </c>
      <c r="G14" s="19">
        <v>31775</v>
      </c>
      <c r="H14" s="11"/>
      <c r="I14" s="5">
        <v>10</v>
      </c>
      <c r="J14" s="19">
        <v>500</v>
      </c>
      <c r="K14" s="19">
        <v>0</v>
      </c>
      <c r="L14" s="1"/>
      <c r="M14" s="19" t="s">
        <v>134</v>
      </c>
      <c r="N14" s="19">
        <v>17000</v>
      </c>
      <c r="O14" s="11">
        <v>6000</v>
      </c>
      <c r="P14" s="1"/>
      <c r="Q14" s="1"/>
    </row>
    <row r="15" spans="1:17" ht="12.75" x14ac:dyDescent="0.2">
      <c r="A15" s="5">
        <v>11</v>
      </c>
      <c r="B15" s="19">
        <v>2890</v>
      </c>
      <c r="C15" s="19">
        <v>2288</v>
      </c>
      <c r="D15" s="11"/>
      <c r="E15" s="5">
        <v>11</v>
      </c>
      <c r="F15" s="19">
        <v>57065</v>
      </c>
      <c r="G15" s="19">
        <v>32749</v>
      </c>
      <c r="H15" s="11"/>
      <c r="I15" s="5">
        <v>11</v>
      </c>
      <c r="J15" s="19">
        <v>5000</v>
      </c>
      <c r="K15" s="19">
        <v>0</v>
      </c>
      <c r="L15" s="1"/>
      <c r="M15" s="12" t="s">
        <v>79</v>
      </c>
      <c r="N15" s="13">
        <f>SUM(N4:N14)</f>
        <v>141660</v>
      </c>
      <c r="O15" s="1"/>
      <c r="P15" s="1"/>
      <c r="Q15" s="1"/>
    </row>
    <row r="16" spans="1:17" ht="12.75" x14ac:dyDescent="0.2">
      <c r="A16" s="5">
        <v>12</v>
      </c>
      <c r="B16" s="19">
        <v>0</v>
      </c>
      <c r="C16" s="19">
        <v>0</v>
      </c>
      <c r="D16" s="11"/>
      <c r="E16" s="5">
        <v>12</v>
      </c>
      <c r="F16" s="19">
        <v>36055</v>
      </c>
      <c r="G16" s="19">
        <v>17629</v>
      </c>
      <c r="H16" s="11"/>
      <c r="I16" s="5">
        <v>12</v>
      </c>
      <c r="J16" s="19">
        <v>6900</v>
      </c>
      <c r="K16" s="19">
        <v>0</v>
      </c>
      <c r="L16" s="1"/>
      <c r="M16" s="25"/>
      <c r="N16" s="6"/>
      <c r="O16" s="1"/>
      <c r="P16" s="1"/>
      <c r="Q16" s="1"/>
    </row>
    <row r="17" spans="1:19" ht="12.75" x14ac:dyDescent="0.2">
      <c r="A17" s="5">
        <v>13</v>
      </c>
      <c r="B17" s="19">
        <v>4440</v>
      </c>
      <c r="C17" s="19">
        <v>4259</v>
      </c>
      <c r="D17" s="11"/>
      <c r="E17" s="5">
        <v>13</v>
      </c>
      <c r="F17" s="19">
        <v>44910</v>
      </c>
      <c r="G17" s="19">
        <v>18391</v>
      </c>
      <c r="H17" s="11"/>
      <c r="I17" s="5">
        <v>13</v>
      </c>
      <c r="J17" s="19">
        <v>8900</v>
      </c>
      <c r="K17" s="19">
        <v>0</v>
      </c>
      <c r="L17" s="1"/>
      <c r="M17" s="78" t="s">
        <v>37</v>
      </c>
      <c r="N17" s="79"/>
      <c r="O17" s="1"/>
      <c r="P17" s="80" t="s">
        <v>38</v>
      </c>
      <c r="Q17" s="79"/>
    </row>
    <row r="18" spans="1:19" ht="12.75" x14ac:dyDescent="0.2">
      <c r="A18" s="5">
        <v>14</v>
      </c>
      <c r="B18" s="19">
        <v>3060</v>
      </c>
      <c r="C18" s="19">
        <v>600</v>
      </c>
      <c r="D18" s="11"/>
      <c r="E18" s="5">
        <v>14</v>
      </c>
      <c r="F18" s="19">
        <v>32811</v>
      </c>
      <c r="G18" s="19">
        <v>15556</v>
      </c>
      <c r="H18" s="11"/>
      <c r="I18" s="5">
        <v>14</v>
      </c>
      <c r="J18" s="19">
        <v>7300</v>
      </c>
      <c r="K18" s="19">
        <v>0</v>
      </c>
      <c r="L18" s="1"/>
      <c r="M18" s="2" t="s">
        <v>39</v>
      </c>
      <c r="N18" s="3" t="s">
        <v>6</v>
      </c>
      <c r="O18" s="1"/>
      <c r="P18" s="2" t="s">
        <v>5</v>
      </c>
      <c r="Q18" s="3" t="s">
        <v>6</v>
      </c>
    </row>
    <row r="19" spans="1:19" ht="12.75" x14ac:dyDescent="0.2">
      <c r="A19" s="5">
        <v>15</v>
      </c>
      <c r="B19" s="19">
        <v>1210</v>
      </c>
      <c r="C19" s="19">
        <v>1116</v>
      </c>
      <c r="D19" s="11"/>
      <c r="E19" s="5">
        <v>15</v>
      </c>
      <c r="F19" s="19">
        <v>42535</v>
      </c>
      <c r="G19" s="19">
        <v>23193</v>
      </c>
      <c r="H19" s="11"/>
      <c r="I19" s="5">
        <v>15</v>
      </c>
      <c r="J19" s="19">
        <v>8600</v>
      </c>
      <c r="K19" s="19">
        <v>0</v>
      </c>
      <c r="L19" s="1"/>
      <c r="M19" s="4" t="s">
        <v>41</v>
      </c>
      <c r="N19" s="20">
        <v>50000</v>
      </c>
      <c r="O19" s="1"/>
      <c r="P19" s="4" t="s">
        <v>42</v>
      </c>
      <c r="Q19" s="5">
        <f>B35+F35+J35</f>
        <v>1759046</v>
      </c>
      <c r="S19" s="42">
        <f>Q21/Q19</f>
        <v>0.24742729866075133</v>
      </c>
    </row>
    <row r="20" spans="1:19" ht="12.75" x14ac:dyDescent="0.2">
      <c r="A20" s="5">
        <v>16</v>
      </c>
      <c r="B20" s="19">
        <v>5389</v>
      </c>
      <c r="C20" s="19">
        <v>3415</v>
      </c>
      <c r="D20" s="11"/>
      <c r="E20" s="5">
        <v>16</v>
      </c>
      <c r="F20" s="19">
        <v>46020</v>
      </c>
      <c r="G20" s="19">
        <v>16415</v>
      </c>
      <c r="H20" s="11"/>
      <c r="I20" s="5">
        <v>16</v>
      </c>
      <c r="J20" s="19">
        <v>4000</v>
      </c>
      <c r="K20" s="19">
        <v>0</v>
      </c>
      <c r="L20" s="11"/>
      <c r="M20" s="4" t="s">
        <v>43</v>
      </c>
      <c r="N20" s="19">
        <v>70041</v>
      </c>
      <c r="O20" s="1"/>
      <c r="P20" s="4" t="s">
        <v>44</v>
      </c>
      <c r="Q20" s="5">
        <f>C35+G35+K35+N15+N30+N55</f>
        <v>1323810</v>
      </c>
    </row>
    <row r="21" spans="1:19" ht="12.75" x14ac:dyDescent="0.2">
      <c r="A21" s="5">
        <v>17</v>
      </c>
      <c r="B21" s="19">
        <v>3820</v>
      </c>
      <c r="C21" s="19">
        <v>2231</v>
      </c>
      <c r="D21" s="11"/>
      <c r="E21" s="5">
        <v>17</v>
      </c>
      <c r="F21" s="19">
        <v>66229</v>
      </c>
      <c r="G21" s="19">
        <v>26681</v>
      </c>
      <c r="H21" s="11"/>
      <c r="I21" s="5">
        <v>17</v>
      </c>
      <c r="J21" s="19">
        <v>35900</v>
      </c>
      <c r="K21" s="19">
        <v>0</v>
      </c>
      <c r="L21" s="1"/>
      <c r="M21" s="31" t="s">
        <v>46</v>
      </c>
      <c r="N21" s="72">
        <v>3000</v>
      </c>
      <c r="O21" s="1"/>
      <c r="P21" s="26" t="s">
        <v>47</v>
      </c>
      <c r="Q21" s="27">
        <f>Q19-Q20</f>
        <v>435236</v>
      </c>
    </row>
    <row r="22" spans="1:19" ht="12.75" x14ac:dyDescent="0.2">
      <c r="A22" s="5">
        <v>18</v>
      </c>
      <c r="B22" s="19">
        <v>8215</v>
      </c>
      <c r="C22" s="19">
        <v>3771</v>
      </c>
      <c r="D22" s="11"/>
      <c r="E22" s="5">
        <v>18</v>
      </c>
      <c r="F22" s="19">
        <v>70357</v>
      </c>
      <c r="G22" s="19">
        <v>23892</v>
      </c>
      <c r="H22" s="11"/>
      <c r="I22" s="5">
        <v>18</v>
      </c>
      <c r="J22" s="19">
        <v>5400</v>
      </c>
      <c r="K22" s="19">
        <v>0</v>
      </c>
      <c r="L22" s="1"/>
      <c r="M22" s="70" t="s">
        <v>166</v>
      </c>
      <c r="N22" s="19">
        <v>20000</v>
      </c>
      <c r="O22" s="1"/>
      <c r="P22" s="4" t="s">
        <v>49</v>
      </c>
      <c r="Q22" s="20">
        <v>45000</v>
      </c>
    </row>
    <row r="23" spans="1:19" ht="12.75" x14ac:dyDescent="0.2">
      <c r="A23" s="5">
        <v>19</v>
      </c>
      <c r="B23" s="20">
        <v>0</v>
      </c>
      <c r="C23" s="67">
        <v>0</v>
      </c>
      <c r="D23" s="11"/>
      <c r="E23" s="5">
        <v>19</v>
      </c>
      <c r="F23" s="19">
        <v>41444</v>
      </c>
      <c r="G23" s="19">
        <v>25633</v>
      </c>
      <c r="H23" s="11"/>
      <c r="I23" s="5">
        <v>19</v>
      </c>
      <c r="J23" s="19">
        <v>9100</v>
      </c>
      <c r="K23" s="19">
        <v>0</v>
      </c>
      <c r="L23" s="1"/>
      <c r="M23" s="31" t="s">
        <v>50</v>
      </c>
      <c r="N23" s="72">
        <v>2490</v>
      </c>
      <c r="O23" s="1"/>
      <c r="P23" s="11" t="s">
        <v>133</v>
      </c>
      <c r="Q23" s="1">
        <f>C35+G35+K35</f>
        <v>812726</v>
      </c>
    </row>
    <row r="24" spans="1:19" ht="12.75" x14ac:dyDescent="0.2">
      <c r="A24" s="5">
        <v>20</v>
      </c>
      <c r="B24" s="19">
        <v>3575</v>
      </c>
      <c r="C24" s="19">
        <v>3299</v>
      </c>
      <c r="D24" s="11"/>
      <c r="E24" s="5">
        <v>20</v>
      </c>
      <c r="F24" s="19">
        <v>33477</v>
      </c>
      <c r="G24" s="19">
        <v>20965</v>
      </c>
      <c r="H24" s="11"/>
      <c r="I24" s="5">
        <v>20</v>
      </c>
      <c r="J24" s="19">
        <v>3700</v>
      </c>
      <c r="K24" s="19">
        <v>0</v>
      </c>
      <c r="L24" s="1"/>
      <c r="M24" s="31" t="s">
        <v>51</v>
      </c>
      <c r="N24" s="72">
        <v>5000</v>
      </c>
      <c r="O24" s="1"/>
      <c r="P24" s="1"/>
      <c r="Q24" s="1"/>
    </row>
    <row r="25" spans="1:19" ht="12.75" x14ac:dyDescent="0.2">
      <c r="A25" s="5">
        <v>21</v>
      </c>
      <c r="B25" s="19">
        <v>4130</v>
      </c>
      <c r="C25" s="19">
        <v>430</v>
      </c>
      <c r="D25" s="11"/>
      <c r="E25" s="5">
        <v>21</v>
      </c>
      <c r="F25" s="19">
        <v>35546</v>
      </c>
      <c r="G25" s="19">
        <v>24328</v>
      </c>
      <c r="H25" s="11"/>
      <c r="I25" s="5">
        <v>21</v>
      </c>
      <c r="J25" s="19">
        <v>8500</v>
      </c>
      <c r="K25" s="19">
        <v>0</v>
      </c>
      <c r="L25" s="11"/>
      <c r="M25" s="73" t="s">
        <v>178</v>
      </c>
      <c r="N25" s="74">
        <v>400</v>
      </c>
      <c r="O25" s="1"/>
      <c r="P25" s="1"/>
      <c r="Q25" s="1"/>
    </row>
    <row r="26" spans="1:19" ht="12.75" x14ac:dyDescent="0.2">
      <c r="A26" s="5">
        <v>22</v>
      </c>
      <c r="B26" s="19">
        <v>4198</v>
      </c>
      <c r="C26" s="19">
        <v>3619</v>
      </c>
      <c r="D26" s="11"/>
      <c r="E26" s="5">
        <v>22</v>
      </c>
      <c r="F26" s="19">
        <v>45201</v>
      </c>
      <c r="G26" s="19">
        <v>30416</v>
      </c>
      <c r="H26" s="11"/>
      <c r="I26" s="5">
        <v>22</v>
      </c>
      <c r="J26" s="19">
        <v>21300</v>
      </c>
      <c r="K26" s="19">
        <v>0</v>
      </c>
      <c r="L26" s="1"/>
      <c r="M26" s="19" t="s">
        <v>179</v>
      </c>
      <c r="N26" s="19">
        <v>40000</v>
      </c>
      <c r="O26" s="1"/>
      <c r="P26" s="1"/>
      <c r="Q26" s="1"/>
    </row>
    <row r="27" spans="1:19" ht="15.75" customHeight="1" x14ac:dyDescent="0.4">
      <c r="A27" s="5">
        <v>23</v>
      </c>
      <c r="B27" s="19">
        <v>380</v>
      </c>
      <c r="C27" s="19">
        <v>230</v>
      </c>
      <c r="D27" s="11"/>
      <c r="E27" s="5">
        <v>23</v>
      </c>
      <c r="F27" s="19">
        <v>35335</v>
      </c>
      <c r="G27" s="19">
        <v>29680</v>
      </c>
      <c r="H27" s="11"/>
      <c r="I27" s="5">
        <v>23</v>
      </c>
      <c r="J27" s="19">
        <v>7500</v>
      </c>
      <c r="K27" s="19">
        <v>0</v>
      </c>
      <c r="L27" s="1"/>
      <c r="M27" s="19" t="s">
        <v>180</v>
      </c>
      <c r="N27" s="19">
        <v>29293</v>
      </c>
      <c r="O27" s="1"/>
      <c r="P27" s="19" t="s">
        <v>139</v>
      </c>
      <c r="Q27" s="63">
        <f>(N15+N55)-Z17</f>
        <v>262860</v>
      </c>
    </row>
    <row r="28" spans="1:19" ht="15.75" customHeight="1" x14ac:dyDescent="0.4">
      <c r="A28" s="5">
        <v>24</v>
      </c>
      <c r="B28" s="19">
        <v>1110</v>
      </c>
      <c r="C28" s="19">
        <v>505</v>
      </c>
      <c r="D28" s="11"/>
      <c r="E28" s="5">
        <v>24</v>
      </c>
      <c r="F28" s="19">
        <v>79347</v>
      </c>
      <c r="G28" s="19">
        <v>25350</v>
      </c>
      <c r="H28" s="11"/>
      <c r="I28" s="5">
        <v>24</v>
      </c>
      <c r="J28" s="19">
        <v>18600</v>
      </c>
      <c r="K28" s="19">
        <v>0</v>
      </c>
      <c r="L28" s="1"/>
      <c r="M28" s="19" t="s">
        <v>181</v>
      </c>
      <c r="N28" s="19">
        <v>20000</v>
      </c>
      <c r="O28" s="1"/>
      <c r="P28" s="19" t="s">
        <v>140</v>
      </c>
      <c r="Q28" s="64">
        <f>O45</f>
        <v>88000</v>
      </c>
    </row>
    <row r="29" spans="1:19" ht="12.75" x14ac:dyDescent="0.2">
      <c r="A29" s="5">
        <v>25</v>
      </c>
      <c r="B29" s="19">
        <v>4752</v>
      </c>
      <c r="C29" s="19">
        <v>2906</v>
      </c>
      <c r="D29" s="11"/>
      <c r="E29" s="5">
        <v>25</v>
      </c>
      <c r="F29" s="19">
        <v>61769</v>
      </c>
      <c r="G29" s="19">
        <v>29670</v>
      </c>
      <c r="H29" s="11"/>
      <c r="I29" s="5">
        <v>25</v>
      </c>
      <c r="J29" s="19">
        <v>6300</v>
      </c>
      <c r="K29" s="19">
        <v>0</v>
      </c>
      <c r="L29" s="1"/>
      <c r="M29" s="74" t="s">
        <v>182</v>
      </c>
      <c r="N29" s="74">
        <v>8000</v>
      </c>
      <c r="O29" s="1"/>
      <c r="P29" s="19" t="s">
        <v>141</v>
      </c>
      <c r="Q29" s="4">
        <f>Q27-Q28</f>
        <v>174860</v>
      </c>
    </row>
    <row r="30" spans="1:19" ht="12.75" x14ac:dyDescent="0.2">
      <c r="A30" s="5">
        <v>26</v>
      </c>
      <c r="B30" s="19">
        <v>0</v>
      </c>
      <c r="C30" s="19">
        <v>0</v>
      </c>
      <c r="D30" s="11"/>
      <c r="E30" s="5">
        <v>26</v>
      </c>
      <c r="F30" s="19">
        <v>37089</v>
      </c>
      <c r="G30" s="19">
        <v>33271</v>
      </c>
      <c r="H30" s="11"/>
      <c r="I30" s="5">
        <v>26</v>
      </c>
      <c r="J30" s="19">
        <v>10300</v>
      </c>
      <c r="K30" s="19">
        <v>0</v>
      </c>
      <c r="L30" s="1"/>
      <c r="M30" s="12" t="s">
        <v>36</v>
      </c>
      <c r="N30" s="13">
        <f>SUM(N19:N29)</f>
        <v>248224</v>
      </c>
      <c r="O30" s="1"/>
      <c r="P30" s="1"/>
      <c r="Q30" s="11"/>
    </row>
    <row r="31" spans="1:19" ht="12.75" x14ac:dyDescent="0.2">
      <c r="A31" s="5">
        <v>27</v>
      </c>
      <c r="B31" s="19">
        <v>1617</v>
      </c>
      <c r="C31" s="19">
        <v>941</v>
      </c>
      <c r="D31" s="11"/>
      <c r="E31" s="5">
        <v>27</v>
      </c>
      <c r="F31" s="19">
        <v>38160</v>
      </c>
      <c r="G31" s="19">
        <v>38210</v>
      </c>
      <c r="H31" s="11"/>
      <c r="I31" s="5">
        <v>27</v>
      </c>
      <c r="J31" s="19">
        <v>13900</v>
      </c>
      <c r="K31" s="19">
        <v>0</v>
      </c>
      <c r="L31" s="1"/>
      <c r="M31" s="1"/>
      <c r="N31" s="1"/>
      <c r="O31" s="1"/>
      <c r="P31" s="1"/>
      <c r="Q31" s="1"/>
    </row>
    <row r="32" spans="1:19" ht="12.75" x14ac:dyDescent="0.2">
      <c r="A32" s="5">
        <v>28</v>
      </c>
      <c r="B32" s="19">
        <v>2832</v>
      </c>
      <c r="C32" s="19">
        <v>1457</v>
      </c>
      <c r="D32" s="11"/>
      <c r="E32" s="5">
        <v>28</v>
      </c>
      <c r="F32" s="19">
        <v>22913</v>
      </c>
      <c r="G32" s="19">
        <v>10235</v>
      </c>
      <c r="H32" s="1"/>
      <c r="I32" s="5">
        <v>28</v>
      </c>
      <c r="J32" s="19">
        <v>2100</v>
      </c>
      <c r="K32" s="19">
        <v>0</v>
      </c>
      <c r="L32" s="1"/>
      <c r="M32" s="81" t="s">
        <v>53</v>
      </c>
      <c r="N32" s="79"/>
      <c r="O32" s="1"/>
      <c r="P32" s="1"/>
      <c r="Q32" s="1"/>
    </row>
    <row r="33" spans="1:17" ht="12.75" x14ac:dyDescent="0.2">
      <c r="A33" s="5">
        <v>29</v>
      </c>
      <c r="B33" s="19">
        <v>3202</v>
      </c>
      <c r="C33" s="19">
        <v>1774</v>
      </c>
      <c r="D33" s="11"/>
      <c r="E33" s="5">
        <v>29</v>
      </c>
      <c r="F33" s="19">
        <v>54818</v>
      </c>
      <c r="G33" s="19">
        <v>38156</v>
      </c>
      <c r="H33" s="1"/>
      <c r="I33" s="5">
        <v>29</v>
      </c>
      <c r="J33" s="19">
        <v>3500</v>
      </c>
      <c r="K33" s="19">
        <v>0</v>
      </c>
      <c r="L33" s="1"/>
      <c r="M33" s="2" t="s">
        <v>39</v>
      </c>
      <c r="N33" s="3" t="s">
        <v>6</v>
      </c>
      <c r="O33" s="1"/>
      <c r="P33" s="1"/>
      <c r="Q33" s="1"/>
    </row>
    <row r="34" spans="1:17" ht="12.75" x14ac:dyDescent="0.2">
      <c r="A34" s="5">
        <v>30</v>
      </c>
      <c r="B34" s="19">
        <v>1460</v>
      </c>
      <c r="C34" s="19">
        <v>550</v>
      </c>
      <c r="D34" s="11"/>
      <c r="E34" s="5">
        <v>30</v>
      </c>
      <c r="F34" s="19">
        <v>34334</v>
      </c>
      <c r="G34" s="19">
        <v>20354</v>
      </c>
      <c r="H34" s="1"/>
      <c r="I34" s="5">
        <v>30</v>
      </c>
      <c r="J34" s="19">
        <v>7200</v>
      </c>
      <c r="K34" s="19">
        <v>0</v>
      </c>
      <c r="L34" s="11"/>
      <c r="M34" s="19" t="s">
        <v>157</v>
      </c>
      <c r="N34" s="19">
        <v>14000</v>
      </c>
      <c r="O34" s="11">
        <v>5000</v>
      </c>
      <c r="P34" s="1"/>
      <c r="Q34" s="1"/>
    </row>
    <row r="35" spans="1:17" ht="12.75" x14ac:dyDescent="0.2">
      <c r="A35" s="12" t="s">
        <v>36</v>
      </c>
      <c r="B35" s="13">
        <f t="shared" ref="B35:C35" si="0">SUM(B5:B34)+B37</f>
        <v>99699</v>
      </c>
      <c r="C35" s="13">
        <f t="shared" si="0"/>
        <v>58978</v>
      </c>
      <c r="D35" s="1"/>
      <c r="E35" s="12" t="s">
        <v>36</v>
      </c>
      <c r="F35" s="13">
        <f t="shared" ref="F35:G35" si="1">SUM(F5:F34)+F37</f>
        <v>1350947</v>
      </c>
      <c r="G35" s="13">
        <f t="shared" si="1"/>
        <v>753748</v>
      </c>
      <c r="H35" s="1"/>
      <c r="I35" s="12" t="s">
        <v>36</v>
      </c>
      <c r="J35" s="13">
        <f t="shared" ref="J35:K35" si="2">SUM(J5:J34)+J37</f>
        <v>308400</v>
      </c>
      <c r="K35" s="13">
        <f t="shared" si="2"/>
        <v>0</v>
      </c>
      <c r="L35" s="11"/>
      <c r="M35" s="19" t="s">
        <v>102</v>
      </c>
      <c r="N35" s="19">
        <v>25000</v>
      </c>
      <c r="O35" s="11">
        <v>9000</v>
      </c>
      <c r="P35" s="1"/>
      <c r="Q35" s="1"/>
    </row>
    <row r="36" spans="1:17" ht="12.75" x14ac:dyDescent="0.2">
      <c r="A36" s="3" t="s">
        <v>56</v>
      </c>
      <c r="B36" s="82">
        <f>B35-C35</f>
        <v>40721</v>
      </c>
      <c r="C36" s="79"/>
      <c r="D36" s="1"/>
      <c r="E36" s="3" t="s">
        <v>56</v>
      </c>
      <c r="F36" s="82">
        <f>F35-G35</f>
        <v>597199</v>
      </c>
      <c r="G36" s="79"/>
      <c r="H36" s="1"/>
      <c r="I36" s="3" t="s">
        <v>56</v>
      </c>
      <c r="J36" s="82">
        <f>J35-K35</f>
        <v>308400</v>
      </c>
      <c r="K36" s="79"/>
      <c r="M36" s="19" t="s">
        <v>112</v>
      </c>
      <c r="N36" s="19">
        <v>13200</v>
      </c>
      <c r="O36" s="11">
        <v>4000</v>
      </c>
      <c r="P36" s="1"/>
      <c r="Q36" s="1"/>
    </row>
    <row r="37" spans="1:17" ht="12.75" x14ac:dyDescent="0.2">
      <c r="A37" s="5">
        <v>31</v>
      </c>
      <c r="B37" s="19"/>
      <c r="C37" s="19"/>
      <c r="D37" s="11"/>
      <c r="E37" s="5">
        <v>31</v>
      </c>
      <c r="F37" s="19"/>
      <c r="G37" s="19"/>
      <c r="H37" s="1"/>
      <c r="I37" s="5">
        <v>31</v>
      </c>
      <c r="J37" s="19"/>
      <c r="K37" s="19"/>
      <c r="L37" s="60"/>
      <c r="M37" s="19" t="s">
        <v>142</v>
      </c>
      <c r="N37" s="19">
        <v>14000</v>
      </c>
      <c r="O37" s="11">
        <v>5000</v>
      </c>
      <c r="P37" s="1"/>
      <c r="Q37" s="1"/>
    </row>
    <row r="38" spans="1:17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4" t="s">
        <v>144</v>
      </c>
      <c r="N38" s="54">
        <v>11100</v>
      </c>
      <c r="O38" s="11">
        <v>4000</v>
      </c>
      <c r="P38" s="1">
        <f>C47-C48-Z17-N26-N27</f>
        <v>877027</v>
      </c>
      <c r="Q38" s="1"/>
    </row>
    <row r="39" spans="1:17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1"/>
      <c r="M39" s="19" t="s">
        <v>162</v>
      </c>
      <c r="N39" s="19">
        <v>11100</v>
      </c>
      <c r="O39" s="11">
        <v>4000</v>
      </c>
      <c r="P39" s="1"/>
      <c r="Q39" s="1"/>
    </row>
    <row r="40" spans="1:1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1"/>
      <c r="M40" s="19" t="s">
        <v>149</v>
      </c>
      <c r="N40" s="19">
        <v>12000</v>
      </c>
      <c r="O40" s="11">
        <v>4000</v>
      </c>
      <c r="P40" s="1"/>
      <c r="Q40" s="1"/>
    </row>
    <row r="41" spans="1:17" ht="12.75" x14ac:dyDescent="0.2">
      <c r="A41" s="1"/>
      <c r="B41" s="1"/>
      <c r="C41" s="1"/>
      <c r="D41" s="1"/>
      <c r="E41" s="1"/>
      <c r="F41" s="1"/>
      <c r="G41" s="83" t="s">
        <v>130</v>
      </c>
      <c r="H41" s="79"/>
      <c r="I41" s="1"/>
      <c r="J41" s="1"/>
      <c r="K41" s="1"/>
      <c r="L41" s="11" t="s">
        <v>183</v>
      </c>
      <c r="M41" s="19" t="s">
        <v>184</v>
      </c>
      <c r="N41" s="19">
        <v>9800</v>
      </c>
      <c r="O41" s="11"/>
      <c r="P41" s="1"/>
      <c r="Q41" s="1"/>
    </row>
    <row r="42" spans="1:17" ht="12.75" x14ac:dyDescent="0.2">
      <c r="A42" s="1"/>
      <c r="B42" s="1"/>
      <c r="C42" s="1"/>
      <c r="D42" s="1"/>
      <c r="E42" s="1"/>
      <c r="F42" s="1"/>
      <c r="G42" s="19" t="s">
        <v>106</v>
      </c>
      <c r="H42" s="19" t="s">
        <v>131</v>
      </c>
      <c r="I42" s="1"/>
      <c r="J42" s="1"/>
      <c r="K42" s="1"/>
      <c r="L42" s="11"/>
      <c r="M42" s="19" t="s">
        <v>33</v>
      </c>
      <c r="N42" s="19">
        <v>11000</v>
      </c>
      <c r="O42" s="11">
        <v>4000</v>
      </c>
      <c r="P42" s="1"/>
      <c r="Q42" s="1"/>
    </row>
    <row r="43" spans="1:17" ht="12.75" x14ac:dyDescent="0.2">
      <c r="A43" s="1"/>
      <c r="B43" s="1"/>
      <c r="C43" s="1"/>
      <c r="D43" s="1"/>
      <c r="E43" s="1"/>
      <c r="F43" s="1"/>
      <c r="G43" s="62"/>
      <c r="H43" s="19"/>
      <c r="I43" s="1"/>
      <c r="J43" s="1"/>
      <c r="K43" s="1"/>
      <c r="L43" s="1"/>
      <c r="M43" s="19"/>
      <c r="N43" s="19"/>
      <c r="O43" s="11"/>
      <c r="P43" s="1"/>
      <c r="Q43" s="1"/>
    </row>
    <row r="44" spans="1:17" ht="12.75" x14ac:dyDescent="0.2">
      <c r="A44" s="1"/>
      <c r="B44" s="1"/>
      <c r="C44" s="1"/>
      <c r="D44" s="1"/>
      <c r="E44" s="1"/>
      <c r="F44" s="1"/>
      <c r="G44" s="62"/>
      <c r="H44" s="19"/>
      <c r="I44" s="1"/>
      <c r="J44" s="1"/>
      <c r="K44" s="1"/>
      <c r="L44" s="1"/>
      <c r="M44" s="19"/>
      <c r="N44" s="19"/>
      <c r="O44" s="11"/>
      <c r="P44" s="1"/>
      <c r="Q44" s="1"/>
    </row>
    <row r="45" spans="1:17" ht="12.75" x14ac:dyDescent="0.2">
      <c r="A45" s="1"/>
      <c r="B45" s="1"/>
      <c r="C45" s="1"/>
      <c r="D45" s="1"/>
      <c r="E45" s="1"/>
      <c r="F45" s="1"/>
      <c r="G45" s="62"/>
      <c r="H45" s="19"/>
      <c r="I45" s="1"/>
      <c r="J45" s="1"/>
      <c r="K45" s="1"/>
      <c r="L45" s="1"/>
      <c r="M45" s="4"/>
      <c r="N45" s="4"/>
      <c r="O45" s="1">
        <f>SUM(O4:O44)</f>
        <v>88000</v>
      </c>
      <c r="P45" s="1"/>
      <c r="Q45" s="1"/>
    </row>
    <row r="46" spans="1:17" ht="12.75" x14ac:dyDescent="0.2">
      <c r="A46" s="1"/>
      <c r="B46" s="1"/>
      <c r="C46" s="1"/>
      <c r="D46" s="1"/>
      <c r="E46" s="1"/>
      <c r="F46" s="1"/>
      <c r="G46" s="62"/>
      <c r="H46" s="19"/>
      <c r="I46" s="1"/>
      <c r="J46" s="1"/>
      <c r="K46" s="1"/>
      <c r="L46" s="1"/>
      <c r="M46" s="4"/>
      <c r="N46" s="4"/>
      <c r="O46" s="1"/>
      <c r="P46" s="1"/>
      <c r="Q46" s="1"/>
    </row>
    <row r="47" spans="1:17" ht="12.75" x14ac:dyDescent="0.2">
      <c r="A47" s="1"/>
      <c r="B47" s="1"/>
      <c r="C47" s="1">
        <f>(B35+F35+J35)</f>
        <v>1759046</v>
      </c>
      <c r="D47" s="1"/>
      <c r="E47" s="1"/>
      <c r="F47" s="1"/>
      <c r="G47" s="62"/>
      <c r="H47" s="19"/>
      <c r="I47" s="1"/>
      <c r="J47" s="1"/>
      <c r="K47" s="1"/>
      <c r="L47" s="1"/>
      <c r="M47" s="4"/>
      <c r="N47" s="4"/>
      <c r="O47" s="1"/>
      <c r="P47" s="1"/>
      <c r="Q47" s="1"/>
    </row>
    <row r="48" spans="1:17" ht="12.75" x14ac:dyDescent="0.2">
      <c r="A48" s="1"/>
      <c r="B48" s="1"/>
      <c r="C48" s="42">
        <f>C35+G35</f>
        <v>812726</v>
      </c>
      <c r="D48" s="1"/>
      <c r="E48" s="1"/>
      <c r="F48" s="1"/>
      <c r="G48" s="62"/>
      <c r="H48" s="19"/>
      <c r="I48" s="1"/>
      <c r="J48" s="1"/>
      <c r="K48" s="1"/>
      <c r="L48" s="1"/>
      <c r="M48" s="4"/>
      <c r="N48" s="4"/>
      <c r="O48" s="1"/>
      <c r="P48" s="11">
        <v>105100</v>
      </c>
      <c r="Q48" s="1"/>
    </row>
    <row r="49" spans="1:17" ht="12.75" x14ac:dyDescent="0.2">
      <c r="A49" s="1"/>
      <c r="B49" s="1"/>
      <c r="C49" s="1">
        <f>C48/C47</f>
        <v>0.4620265757689111</v>
      </c>
      <c r="D49" s="1"/>
      <c r="E49" s="1"/>
      <c r="F49" s="1"/>
      <c r="G49" s="62"/>
      <c r="H49" s="19"/>
      <c r="I49" s="1"/>
      <c r="J49" s="1"/>
      <c r="K49" s="1"/>
      <c r="L49" s="1"/>
      <c r="M49" s="4"/>
      <c r="N49" s="4"/>
      <c r="O49" s="1"/>
      <c r="P49" s="1"/>
      <c r="Q49" s="1"/>
    </row>
    <row r="50" spans="1:17" ht="12.75" x14ac:dyDescent="0.2">
      <c r="A50" s="1"/>
      <c r="B50" s="1"/>
      <c r="C50" s="1"/>
      <c r="D50" s="1"/>
      <c r="E50" s="1"/>
      <c r="F50" s="1"/>
      <c r="G50" s="21"/>
      <c r="H50" s="19"/>
      <c r="I50" s="1"/>
      <c r="J50" s="1"/>
      <c r="K50" s="1"/>
      <c r="L50" s="1"/>
      <c r="M50" s="4"/>
      <c r="N50" s="4"/>
      <c r="O50" s="1"/>
      <c r="P50" s="1"/>
      <c r="Q50" s="1"/>
    </row>
    <row r="51" spans="1:17" ht="12.75" x14ac:dyDescent="0.2">
      <c r="A51" s="1"/>
      <c r="B51" s="1"/>
      <c r="C51" s="1"/>
      <c r="D51" s="1"/>
      <c r="E51" s="1"/>
      <c r="F51" s="1"/>
      <c r="G51" s="4"/>
      <c r="H51" s="4"/>
      <c r="I51" s="1"/>
      <c r="J51" s="1"/>
      <c r="K51" s="1"/>
      <c r="L51" s="1"/>
      <c r="M51" s="4"/>
      <c r="N51" s="4"/>
      <c r="O51" s="1"/>
      <c r="P51" s="1"/>
      <c r="Q51" s="1"/>
    </row>
    <row r="52" spans="1:1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4"/>
      <c r="O52" s="1"/>
      <c r="P52" s="1"/>
      <c r="Q52" s="1"/>
    </row>
    <row r="53" spans="1:1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4"/>
      <c r="O53" s="1"/>
      <c r="P53" s="1"/>
      <c r="Q53" s="1"/>
    </row>
    <row r="54" spans="1:1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4"/>
      <c r="O54" s="1"/>
      <c r="P54" s="1"/>
      <c r="Q54" s="1"/>
    </row>
    <row r="55" spans="1:1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 t="s">
        <v>36</v>
      </c>
      <c r="N55" s="5">
        <f>SUM(N34:N54)</f>
        <v>121200</v>
      </c>
      <c r="O55" s="1"/>
      <c r="P55" s="1"/>
      <c r="Q55" s="1"/>
    </row>
  </sheetData>
  <mergeCells count="12">
    <mergeCell ref="M17:N17"/>
    <mergeCell ref="P17:Q17"/>
    <mergeCell ref="A1:P1"/>
    <mergeCell ref="M2:N2"/>
    <mergeCell ref="A3:C3"/>
    <mergeCell ref="E3:G3"/>
    <mergeCell ref="I3:K3"/>
    <mergeCell ref="M32:N32"/>
    <mergeCell ref="B36:C36"/>
    <mergeCell ref="F36:G36"/>
    <mergeCell ref="J36:K36"/>
    <mergeCell ref="G41:H41"/>
  </mergeCells>
  <hyperlinks>
    <hyperlink ref="M22" r:id="rId1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S55"/>
  <sheetViews>
    <sheetView topLeftCell="A37" workbookViewId="0">
      <selection activeCell="N55" sqref="N55"/>
    </sheetView>
  </sheetViews>
  <sheetFormatPr defaultColWidth="12.5703125" defaultRowHeight="15.75" customHeight="1" x14ac:dyDescent="0.2"/>
  <cols>
    <col min="1" max="1" width="6.140625" customWidth="1"/>
    <col min="2" max="2" width="6.42578125" customWidth="1"/>
    <col min="3" max="3" width="8.42578125" customWidth="1"/>
    <col min="4" max="4" width="5.28515625" customWidth="1"/>
    <col min="5" max="5" width="6" customWidth="1"/>
    <col min="6" max="6" width="7.42578125" customWidth="1"/>
    <col min="7" max="7" width="6.5703125" customWidth="1"/>
    <col min="8" max="8" width="4.5703125" customWidth="1"/>
    <col min="9" max="9" width="5.42578125" customWidth="1"/>
    <col min="10" max="10" width="6.42578125" customWidth="1"/>
    <col min="11" max="11" width="6.5703125" customWidth="1"/>
    <col min="12" max="12" width="5.42578125" customWidth="1"/>
    <col min="13" max="13" width="11.28515625" customWidth="1"/>
    <col min="14" max="14" width="6.7109375" customWidth="1"/>
    <col min="15" max="15" width="5.5703125" customWidth="1"/>
    <col min="16" max="16" width="11.42578125" customWidth="1"/>
    <col min="17" max="17" width="7.42578125" customWidth="1"/>
    <col min="19" max="19" width="11.5703125" customWidth="1"/>
  </cols>
  <sheetData>
    <row r="1" spans="1:17" ht="12.75" x14ac:dyDescent="0.2">
      <c r="A1" s="80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79"/>
      <c r="Q1" s="1"/>
    </row>
    <row r="2" spans="1:17" ht="12.7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5" t="s">
        <v>1</v>
      </c>
      <c r="N2" s="79"/>
      <c r="O2" s="1"/>
      <c r="P2" s="1"/>
      <c r="Q2" s="1"/>
    </row>
    <row r="3" spans="1:17" ht="12.75" x14ac:dyDescent="0.2">
      <c r="A3" s="86" t="s">
        <v>2</v>
      </c>
      <c r="B3" s="84"/>
      <c r="C3" s="79"/>
      <c r="D3" s="1"/>
      <c r="E3" s="87" t="s">
        <v>3</v>
      </c>
      <c r="F3" s="84"/>
      <c r="G3" s="79"/>
      <c r="H3" s="1"/>
      <c r="I3" s="88" t="s">
        <v>4</v>
      </c>
      <c r="J3" s="84"/>
      <c r="K3" s="79"/>
      <c r="L3" s="1"/>
      <c r="M3" s="2" t="s">
        <v>5</v>
      </c>
      <c r="N3" s="3" t="s">
        <v>6</v>
      </c>
      <c r="O3" s="1"/>
      <c r="P3" s="1"/>
      <c r="Q3" s="1"/>
    </row>
    <row r="4" spans="1:17" ht="12.75" x14ac:dyDescent="0.2">
      <c r="A4" s="4" t="s">
        <v>7</v>
      </c>
      <c r="B4" s="4" t="s">
        <v>8</v>
      </c>
      <c r="C4" s="4" t="s">
        <v>9</v>
      </c>
      <c r="D4" s="1"/>
      <c r="E4" s="4" t="s">
        <v>7</v>
      </c>
      <c r="F4" s="4" t="s">
        <v>8</v>
      </c>
      <c r="G4" s="4" t="s">
        <v>9</v>
      </c>
      <c r="H4" s="1"/>
      <c r="I4" s="4" t="s">
        <v>7</v>
      </c>
      <c r="J4" s="4" t="s">
        <v>8</v>
      </c>
      <c r="K4" s="4" t="s">
        <v>9</v>
      </c>
      <c r="L4" s="1"/>
      <c r="M4" s="16" t="s">
        <v>69</v>
      </c>
      <c r="N4" s="16">
        <v>20000</v>
      </c>
      <c r="O4" s="11">
        <v>7000</v>
      </c>
      <c r="P4" s="1"/>
      <c r="Q4" s="1"/>
    </row>
    <row r="5" spans="1:17" ht="12.75" x14ac:dyDescent="0.2">
      <c r="A5" s="5">
        <v>1</v>
      </c>
      <c r="B5" s="20">
        <v>4730</v>
      </c>
      <c r="C5" s="20">
        <v>1570</v>
      </c>
      <c r="D5" s="11"/>
      <c r="E5" s="5">
        <v>1</v>
      </c>
      <c r="F5" s="20">
        <v>60795</v>
      </c>
      <c r="G5" s="20">
        <v>40400</v>
      </c>
      <c r="H5" s="7"/>
      <c r="I5" s="5">
        <v>1</v>
      </c>
      <c r="J5" s="20">
        <v>9200</v>
      </c>
      <c r="K5" s="20">
        <v>0</v>
      </c>
      <c r="L5" s="1"/>
      <c r="M5" s="4" t="s">
        <v>12</v>
      </c>
      <c r="N5" s="20">
        <v>20000</v>
      </c>
      <c r="O5" s="11">
        <v>7000</v>
      </c>
      <c r="P5" s="1"/>
      <c r="Q5" s="1"/>
    </row>
    <row r="6" spans="1:17" ht="12.75" x14ac:dyDescent="0.2">
      <c r="A6" s="5">
        <v>2</v>
      </c>
      <c r="B6" s="20">
        <v>3410</v>
      </c>
      <c r="C6" s="20">
        <v>569</v>
      </c>
      <c r="D6" s="29"/>
      <c r="E6" s="5">
        <v>2</v>
      </c>
      <c r="F6" s="20">
        <v>77230</v>
      </c>
      <c r="G6" s="20">
        <v>23755</v>
      </c>
      <c r="H6" s="7"/>
      <c r="I6" s="5">
        <v>2</v>
      </c>
      <c r="J6" s="20">
        <v>4500</v>
      </c>
      <c r="K6" s="20">
        <v>0</v>
      </c>
      <c r="L6" s="11"/>
      <c r="M6" s="4" t="s">
        <v>15</v>
      </c>
      <c r="N6" s="20">
        <v>18000</v>
      </c>
      <c r="O6" s="11">
        <v>6000</v>
      </c>
      <c r="P6" s="1"/>
      <c r="Q6" s="1"/>
    </row>
    <row r="7" spans="1:17" ht="12.75" x14ac:dyDescent="0.2">
      <c r="A7" s="5">
        <v>3</v>
      </c>
      <c r="B7" s="20">
        <v>0</v>
      </c>
      <c r="C7" s="20">
        <v>0</v>
      </c>
      <c r="D7" s="7"/>
      <c r="E7" s="5">
        <v>3</v>
      </c>
      <c r="F7" s="20">
        <v>38285</v>
      </c>
      <c r="G7" s="20">
        <v>30635</v>
      </c>
      <c r="H7" s="7"/>
      <c r="I7" s="5">
        <v>3</v>
      </c>
      <c r="J7" s="20">
        <v>8700</v>
      </c>
      <c r="K7" s="20">
        <v>0</v>
      </c>
      <c r="L7" s="11"/>
      <c r="M7" s="4"/>
      <c r="N7" s="20"/>
      <c r="O7" s="11"/>
      <c r="P7" s="1"/>
      <c r="Q7" s="1"/>
    </row>
    <row r="8" spans="1:17" ht="12.75" x14ac:dyDescent="0.2">
      <c r="A8" s="5">
        <v>4</v>
      </c>
      <c r="B8" s="19">
        <v>1696</v>
      </c>
      <c r="C8" s="19">
        <v>1429</v>
      </c>
      <c r="D8" s="11"/>
      <c r="E8" s="5">
        <v>4</v>
      </c>
      <c r="F8" s="19">
        <v>41145</v>
      </c>
      <c r="G8" s="19">
        <v>21777</v>
      </c>
      <c r="H8" s="11"/>
      <c r="I8" s="5">
        <v>4</v>
      </c>
      <c r="J8" s="19">
        <v>29900</v>
      </c>
      <c r="K8" s="19">
        <v>0</v>
      </c>
      <c r="L8" s="1"/>
      <c r="M8" s="4" t="s">
        <v>22</v>
      </c>
      <c r="N8" s="20">
        <v>17000</v>
      </c>
      <c r="O8" s="11">
        <v>6000</v>
      </c>
      <c r="P8" s="1"/>
      <c r="Q8" s="1"/>
    </row>
    <row r="9" spans="1:17" ht="12.75" x14ac:dyDescent="0.2">
      <c r="A9" s="5">
        <v>5</v>
      </c>
      <c r="B9" s="19">
        <v>1950</v>
      </c>
      <c r="C9" s="19">
        <v>826</v>
      </c>
      <c r="D9" s="11"/>
      <c r="E9" s="5">
        <v>5</v>
      </c>
      <c r="F9" s="19">
        <v>33496</v>
      </c>
      <c r="G9" s="19">
        <v>17527</v>
      </c>
      <c r="H9" s="11"/>
      <c r="I9" s="5">
        <v>5</v>
      </c>
      <c r="J9" s="19">
        <v>47200</v>
      </c>
      <c r="K9" s="19">
        <v>0</v>
      </c>
      <c r="L9" s="1"/>
      <c r="M9" s="4"/>
      <c r="N9" s="20"/>
      <c r="O9" s="11"/>
      <c r="P9" s="1"/>
      <c r="Q9" s="1"/>
    </row>
    <row r="10" spans="1:17" ht="12.75" x14ac:dyDescent="0.2">
      <c r="A10" s="5">
        <v>6</v>
      </c>
      <c r="B10" s="19">
        <v>2130</v>
      </c>
      <c r="C10" s="19">
        <v>1330</v>
      </c>
      <c r="D10" s="11"/>
      <c r="E10" s="5">
        <v>6</v>
      </c>
      <c r="F10" s="19">
        <v>15367</v>
      </c>
      <c r="G10" s="19">
        <v>7716</v>
      </c>
      <c r="H10" s="11"/>
      <c r="I10" s="5">
        <v>6</v>
      </c>
      <c r="J10" s="19">
        <v>3800</v>
      </c>
      <c r="K10" s="19">
        <v>0</v>
      </c>
      <c r="L10" s="11"/>
      <c r="M10" s="19"/>
      <c r="N10" s="20"/>
      <c r="O10" s="11"/>
      <c r="P10" s="1"/>
      <c r="Q10" s="1"/>
    </row>
    <row r="11" spans="1:17" ht="12.75" x14ac:dyDescent="0.2">
      <c r="A11" s="5">
        <v>7</v>
      </c>
      <c r="B11" s="19">
        <v>1440</v>
      </c>
      <c r="C11" s="19">
        <v>1047</v>
      </c>
      <c r="D11" s="11"/>
      <c r="E11" s="5">
        <v>7</v>
      </c>
      <c r="F11" s="19">
        <v>13058</v>
      </c>
      <c r="G11" s="19">
        <v>11180</v>
      </c>
      <c r="H11" s="11"/>
      <c r="I11" s="5">
        <v>7</v>
      </c>
      <c r="J11" s="19">
        <v>5700</v>
      </c>
      <c r="K11" s="19">
        <v>0</v>
      </c>
      <c r="L11" s="11"/>
      <c r="M11" s="19" t="s">
        <v>29</v>
      </c>
      <c r="N11" s="20">
        <v>20000</v>
      </c>
      <c r="O11" s="40">
        <v>7000</v>
      </c>
      <c r="P11" s="1"/>
      <c r="Q11" s="1"/>
    </row>
    <row r="12" spans="1:17" ht="12.75" x14ac:dyDescent="0.2">
      <c r="A12" s="5">
        <v>8</v>
      </c>
      <c r="B12" s="19">
        <v>6680</v>
      </c>
      <c r="C12" s="19">
        <v>4653</v>
      </c>
      <c r="D12" s="11"/>
      <c r="E12" s="5">
        <v>8</v>
      </c>
      <c r="F12" s="19">
        <v>8070</v>
      </c>
      <c r="G12" s="19">
        <v>10345</v>
      </c>
      <c r="H12" s="11"/>
      <c r="I12" s="5">
        <v>8</v>
      </c>
      <c r="J12" s="19">
        <v>6900</v>
      </c>
      <c r="K12" s="19">
        <v>0</v>
      </c>
      <c r="L12" s="11"/>
      <c r="M12" s="19" t="s">
        <v>74</v>
      </c>
      <c r="N12" s="20">
        <v>15000</v>
      </c>
      <c r="O12" s="11">
        <v>5000</v>
      </c>
      <c r="P12" s="1"/>
      <c r="Q12" s="1"/>
    </row>
    <row r="13" spans="1:17" ht="12.75" x14ac:dyDescent="0.2">
      <c r="A13" s="5">
        <v>9</v>
      </c>
      <c r="B13" s="19">
        <v>2635</v>
      </c>
      <c r="C13" s="19">
        <v>1198</v>
      </c>
      <c r="D13" s="11"/>
      <c r="E13" s="5">
        <v>9</v>
      </c>
      <c r="F13" s="19">
        <v>10105</v>
      </c>
      <c r="G13" s="19">
        <v>8231</v>
      </c>
      <c r="H13" s="11"/>
      <c r="I13" s="5">
        <v>9</v>
      </c>
      <c r="J13" s="19">
        <v>12500</v>
      </c>
      <c r="K13" s="19">
        <v>0</v>
      </c>
      <c r="L13" s="11"/>
      <c r="M13" s="19" t="s">
        <v>87</v>
      </c>
      <c r="N13" s="19">
        <v>15140</v>
      </c>
      <c r="O13" s="11">
        <v>5000</v>
      </c>
      <c r="P13" s="1"/>
      <c r="Q13" s="1"/>
    </row>
    <row r="14" spans="1:17" ht="12.75" x14ac:dyDescent="0.2">
      <c r="A14" s="5">
        <v>10</v>
      </c>
      <c r="B14" s="19">
        <v>0</v>
      </c>
      <c r="C14" s="19">
        <v>0</v>
      </c>
      <c r="D14" s="11"/>
      <c r="E14" s="5">
        <v>10</v>
      </c>
      <c r="F14" s="19">
        <v>13760</v>
      </c>
      <c r="G14" s="19">
        <v>9982</v>
      </c>
      <c r="H14" s="11"/>
      <c r="I14" s="5">
        <v>10</v>
      </c>
      <c r="J14" s="19">
        <v>2200</v>
      </c>
      <c r="K14" s="19">
        <v>0</v>
      </c>
      <c r="L14" s="1"/>
      <c r="M14" s="19" t="s">
        <v>134</v>
      </c>
      <c r="N14" s="19">
        <v>17000</v>
      </c>
      <c r="O14" s="11">
        <v>6000</v>
      </c>
      <c r="P14" s="1"/>
      <c r="Q14" s="1"/>
    </row>
    <row r="15" spans="1:17" ht="12.75" x14ac:dyDescent="0.2">
      <c r="A15" s="5">
        <v>11</v>
      </c>
      <c r="B15" s="19">
        <v>5140</v>
      </c>
      <c r="C15" s="19">
        <v>2725</v>
      </c>
      <c r="D15" s="11"/>
      <c r="E15" s="5">
        <v>11</v>
      </c>
      <c r="F15" s="19">
        <v>14180</v>
      </c>
      <c r="G15" s="19">
        <v>12366</v>
      </c>
      <c r="H15" s="11"/>
      <c r="I15" s="5">
        <v>11</v>
      </c>
      <c r="J15" s="19">
        <v>3400</v>
      </c>
      <c r="K15" s="19">
        <v>0</v>
      </c>
      <c r="L15" s="1"/>
      <c r="M15" s="12" t="s">
        <v>79</v>
      </c>
      <c r="N15" s="13">
        <f>SUM(N4:N14)</f>
        <v>142140</v>
      </c>
      <c r="O15" s="1"/>
      <c r="P15" s="1"/>
      <c r="Q15" s="1"/>
    </row>
    <row r="16" spans="1:17" ht="12.75" x14ac:dyDescent="0.2">
      <c r="A16" s="5">
        <v>12</v>
      </c>
      <c r="B16" s="19">
        <v>2460</v>
      </c>
      <c r="C16" s="19">
        <v>2437</v>
      </c>
      <c r="D16" s="11"/>
      <c r="E16" s="5">
        <v>12</v>
      </c>
      <c r="F16" s="19">
        <v>13508</v>
      </c>
      <c r="G16" s="19">
        <v>14186</v>
      </c>
      <c r="H16" s="11"/>
      <c r="I16" s="5">
        <v>12</v>
      </c>
      <c r="J16" s="19">
        <v>4700</v>
      </c>
      <c r="K16" s="19">
        <v>0</v>
      </c>
      <c r="L16" s="1"/>
      <c r="M16" s="25"/>
      <c r="N16" s="6"/>
      <c r="O16" s="1"/>
      <c r="P16" s="1"/>
      <c r="Q16" s="1"/>
    </row>
    <row r="17" spans="1:19" ht="12.75" x14ac:dyDescent="0.2">
      <c r="A17" s="5">
        <v>13</v>
      </c>
      <c r="B17" s="19">
        <v>3870</v>
      </c>
      <c r="C17" s="19">
        <v>1805</v>
      </c>
      <c r="D17" s="11"/>
      <c r="E17" s="5">
        <v>13</v>
      </c>
      <c r="F17" s="19">
        <v>12530</v>
      </c>
      <c r="G17" s="19">
        <v>9618</v>
      </c>
      <c r="H17" s="11"/>
      <c r="I17" s="5">
        <v>13</v>
      </c>
      <c r="J17" s="19">
        <v>3300</v>
      </c>
      <c r="K17" s="19">
        <v>0</v>
      </c>
      <c r="L17" s="1"/>
      <c r="M17" s="78" t="s">
        <v>37</v>
      </c>
      <c r="N17" s="79"/>
      <c r="O17" s="1"/>
      <c r="P17" s="80" t="s">
        <v>38</v>
      </c>
      <c r="Q17" s="79"/>
    </row>
    <row r="18" spans="1:19" ht="12.75" x14ac:dyDescent="0.2">
      <c r="A18" s="5">
        <v>14</v>
      </c>
      <c r="B18" s="19">
        <v>1694</v>
      </c>
      <c r="C18" s="19">
        <v>387</v>
      </c>
      <c r="D18" s="11"/>
      <c r="E18" s="5">
        <v>14</v>
      </c>
      <c r="F18" s="19">
        <v>15117</v>
      </c>
      <c r="G18" s="19">
        <v>14431</v>
      </c>
      <c r="H18" s="11"/>
      <c r="I18" s="5">
        <v>14</v>
      </c>
      <c r="J18" s="19">
        <v>15300</v>
      </c>
      <c r="K18" s="19">
        <v>0</v>
      </c>
      <c r="L18" s="1"/>
      <c r="M18" s="2" t="s">
        <v>39</v>
      </c>
      <c r="N18" s="3" t="s">
        <v>6</v>
      </c>
      <c r="O18" s="1"/>
      <c r="P18" s="2" t="s">
        <v>5</v>
      </c>
      <c r="Q18" s="3" t="s">
        <v>6</v>
      </c>
    </row>
    <row r="19" spans="1:19" ht="12.75" x14ac:dyDescent="0.2">
      <c r="A19" s="5">
        <v>15</v>
      </c>
      <c r="B19" s="19">
        <v>2224</v>
      </c>
      <c r="C19" s="19">
        <v>2222</v>
      </c>
      <c r="D19" s="11"/>
      <c r="E19" s="5">
        <v>15</v>
      </c>
      <c r="F19" s="19">
        <v>61244</v>
      </c>
      <c r="G19" s="19">
        <v>33149</v>
      </c>
      <c r="H19" s="11"/>
      <c r="I19" s="5">
        <v>15</v>
      </c>
      <c r="J19" s="19">
        <v>800</v>
      </c>
      <c r="K19" s="19">
        <v>0</v>
      </c>
      <c r="L19" s="1"/>
      <c r="M19" s="4" t="s">
        <v>41</v>
      </c>
      <c r="N19" s="20">
        <v>50000</v>
      </c>
      <c r="O19" s="1"/>
      <c r="P19" s="4" t="s">
        <v>42</v>
      </c>
      <c r="Q19" s="5">
        <f>B35+F35+J35</f>
        <v>1645840</v>
      </c>
      <c r="S19" s="42">
        <f>Q21/Q19</f>
        <v>0.27805558255966556</v>
      </c>
    </row>
    <row r="20" spans="1:19" ht="12.75" x14ac:dyDescent="0.2">
      <c r="A20" s="5">
        <v>16</v>
      </c>
      <c r="B20" s="19">
        <v>4655</v>
      </c>
      <c r="C20" s="19">
        <v>1315</v>
      </c>
      <c r="D20" s="11"/>
      <c r="E20" s="5">
        <v>16</v>
      </c>
      <c r="F20" s="19">
        <v>62905</v>
      </c>
      <c r="G20" s="19">
        <v>20513</v>
      </c>
      <c r="H20" s="11"/>
      <c r="I20" s="5">
        <v>16</v>
      </c>
      <c r="J20" s="19">
        <v>4800</v>
      </c>
      <c r="K20" s="19">
        <v>0</v>
      </c>
      <c r="L20" s="11"/>
      <c r="M20" s="4" t="s">
        <v>43</v>
      </c>
      <c r="N20" s="19">
        <v>60567</v>
      </c>
      <c r="O20" s="1"/>
      <c r="P20" s="4" t="s">
        <v>44</v>
      </c>
      <c r="Q20" s="5">
        <f>C35+G35+K35+N15+N30+N55</f>
        <v>1188205</v>
      </c>
    </row>
    <row r="21" spans="1:19" ht="12.75" x14ac:dyDescent="0.2">
      <c r="A21" s="5">
        <v>17</v>
      </c>
      <c r="B21" s="19">
        <v>0</v>
      </c>
      <c r="C21" s="19">
        <v>0</v>
      </c>
      <c r="D21" s="11"/>
      <c r="E21" s="5">
        <v>17</v>
      </c>
      <c r="F21" s="19">
        <v>37912</v>
      </c>
      <c r="G21" s="19">
        <v>18585</v>
      </c>
      <c r="H21" s="11"/>
      <c r="I21" s="5">
        <v>17</v>
      </c>
      <c r="J21" s="19">
        <v>3800</v>
      </c>
      <c r="K21" s="19">
        <v>0</v>
      </c>
      <c r="L21" s="1"/>
      <c r="M21" s="31" t="s">
        <v>46</v>
      </c>
      <c r="N21" s="72">
        <v>3000</v>
      </c>
      <c r="O21" s="1"/>
      <c r="P21" s="26" t="s">
        <v>47</v>
      </c>
      <c r="Q21" s="27">
        <f>Q19-Q20</f>
        <v>457635</v>
      </c>
    </row>
    <row r="22" spans="1:19" ht="12.75" x14ac:dyDescent="0.2">
      <c r="A22" s="5">
        <v>18</v>
      </c>
      <c r="B22" s="19">
        <v>3530</v>
      </c>
      <c r="C22" s="19">
        <v>1806</v>
      </c>
      <c r="D22" s="11"/>
      <c r="E22" s="5">
        <v>18</v>
      </c>
      <c r="F22" s="19">
        <v>53622</v>
      </c>
      <c r="G22" s="19">
        <v>33890</v>
      </c>
      <c r="H22" s="11"/>
      <c r="I22" s="5">
        <v>18</v>
      </c>
      <c r="J22" s="19">
        <v>23600</v>
      </c>
      <c r="K22" s="19">
        <v>0</v>
      </c>
      <c r="L22" s="1"/>
      <c r="M22" s="70" t="s">
        <v>166</v>
      </c>
      <c r="N22" s="19"/>
      <c r="O22" s="1"/>
      <c r="P22" s="4" t="s">
        <v>49</v>
      </c>
      <c r="Q22" s="20">
        <v>45000</v>
      </c>
    </row>
    <row r="23" spans="1:19" ht="12.75" x14ac:dyDescent="0.2">
      <c r="A23" s="5">
        <v>19</v>
      </c>
      <c r="B23" s="20">
        <v>2925</v>
      </c>
      <c r="C23" s="67">
        <v>1410</v>
      </c>
      <c r="D23" s="11"/>
      <c r="E23" s="5">
        <v>19</v>
      </c>
      <c r="F23" s="19">
        <v>39770</v>
      </c>
      <c r="G23" s="19">
        <v>19396</v>
      </c>
      <c r="H23" s="11"/>
      <c r="I23" s="5">
        <v>19</v>
      </c>
      <c r="J23" s="19">
        <v>3100</v>
      </c>
      <c r="K23" s="19">
        <v>0</v>
      </c>
      <c r="L23" s="1"/>
      <c r="M23" s="31" t="s">
        <v>50</v>
      </c>
      <c r="N23" s="72">
        <v>2490</v>
      </c>
      <c r="O23" s="1"/>
      <c r="P23" s="11" t="s">
        <v>133</v>
      </c>
      <c r="Q23" s="1">
        <f>C35+G35+K35</f>
        <v>728105</v>
      </c>
    </row>
    <row r="24" spans="1:19" ht="12.75" x14ac:dyDescent="0.2">
      <c r="A24" s="5">
        <v>20</v>
      </c>
      <c r="B24" s="19">
        <v>1950</v>
      </c>
      <c r="C24" s="19">
        <v>766</v>
      </c>
      <c r="D24" s="11"/>
      <c r="E24" s="5">
        <v>20</v>
      </c>
      <c r="F24" s="19">
        <v>39678</v>
      </c>
      <c r="G24" s="19">
        <v>24248</v>
      </c>
      <c r="H24" s="11"/>
      <c r="I24" s="5">
        <v>20</v>
      </c>
      <c r="J24" s="19">
        <v>6200</v>
      </c>
      <c r="K24" s="19">
        <v>0</v>
      </c>
      <c r="L24" s="1"/>
      <c r="M24" s="31" t="s">
        <v>51</v>
      </c>
      <c r="N24" s="72">
        <v>5000</v>
      </c>
      <c r="O24" s="1"/>
      <c r="P24" s="1"/>
      <c r="Q24" s="1"/>
    </row>
    <row r="25" spans="1:19" ht="12.75" x14ac:dyDescent="0.2">
      <c r="A25" s="5">
        <v>21</v>
      </c>
      <c r="B25" s="19">
        <v>2030</v>
      </c>
      <c r="C25" s="19">
        <v>1170</v>
      </c>
      <c r="D25" s="11"/>
      <c r="E25" s="5">
        <v>21</v>
      </c>
      <c r="F25" s="19">
        <v>61453</v>
      </c>
      <c r="G25" s="19">
        <v>56847</v>
      </c>
      <c r="H25" s="11"/>
      <c r="I25" s="5">
        <v>21</v>
      </c>
      <c r="J25" s="19">
        <v>19900</v>
      </c>
      <c r="K25" s="19">
        <v>0</v>
      </c>
      <c r="L25" s="11"/>
      <c r="M25" s="73" t="s">
        <v>185</v>
      </c>
      <c r="N25" s="74">
        <v>59903</v>
      </c>
      <c r="O25" s="1"/>
      <c r="P25" s="1"/>
      <c r="Q25" s="1"/>
    </row>
    <row r="26" spans="1:19" ht="12.75" x14ac:dyDescent="0.2">
      <c r="A26" s="5">
        <v>22</v>
      </c>
      <c r="B26" s="19">
        <v>3130</v>
      </c>
      <c r="C26" s="19">
        <v>1819</v>
      </c>
      <c r="D26" s="11"/>
      <c r="E26" s="5">
        <v>22</v>
      </c>
      <c r="F26" s="19">
        <v>44705</v>
      </c>
      <c r="G26" s="19">
        <v>37820</v>
      </c>
      <c r="H26" s="11"/>
      <c r="I26" s="5">
        <v>22</v>
      </c>
      <c r="J26" s="19">
        <v>17200</v>
      </c>
      <c r="K26" s="19">
        <v>0</v>
      </c>
      <c r="L26" s="1"/>
      <c r="M26" s="19"/>
      <c r="N26" s="19"/>
      <c r="O26" s="1"/>
      <c r="P26" s="1"/>
      <c r="Q26" s="1"/>
    </row>
    <row r="27" spans="1:19" ht="15.75" customHeight="1" x14ac:dyDescent="0.4">
      <c r="A27" s="5">
        <v>23</v>
      </c>
      <c r="B27" s="19">
        <v>1582</v>
      </c>
      <c r="C27" s="19">
        <v>1505</v>
      </c>
      <c r="D27" s="11"/>
      <c r="E27" s="5">
        <v>23</v>
      </c>
      <c r="F27" s="19">
        <v>64219</v>
      </c>
      <c r="G27" s="19">
        <v>26488</v>
      </c>
      <c r="H27" s="11"/>
      <c r="I27" s="5">
        <v>23</v>
      </c>
      <c r="J27" s="19">
        <v>13600</v>
      </c>
      <c r="K27" s="19">
        <v>0</v>
      </c>
      <c r="L27" s="1"/>
      <c r="M27" s="19"/>
      <c r="N27" s="19"/>
      <c r="O27" s="1"/>
      <c r="P27" s="19" t="s">
        <v>139</v>
      </c>
      <c r="Q27" s="63">
        <f>(N15+N55)-Z17</f>
        <v>268940</v>
      </c>
    </row>
    <row r="28" spans="1:19" ht="15.75" customHeight="1" x14ac:dyDescent="0.4">
      <c r="A28" s="5">
        <v>24</v>
      </c>
      <c r="B28" s="19">
        <v>0</v>
      </c>
      <c r="C28" s="19">
        <v>0</v>
      </c>
      <c r="D28" s="11"/>
      <c r="E28" s="5">
        <v>24</v>
      </c>
      <c r="F28" s="19">
        <v>24275</v>
      </c>
      <c r="G28" s="19">
        <v>16710</v>
      </c>
      <c r="H28" s="11"/>
      <c r="I28" s="5">
        <v>24</v>
      </c>
      <c r="J28" s="19">
        <v>4700</v>
      </c>
      <c r="K28" s="19">
        <v>0</v>
      </c>
      <c r="L28" s="1"/>
      <c r="M28" s="19"/>
      <c r="N28" s="19"/>
      <c r="O28" s="1"/>
      <c r="P28" s="19" t="s">
        <v>140</v>
      </c>
      <c r="Q28" s="64">
        <f>O45</f>
        <v>93000</v>
      </c>
    </row>
    <row r="29" spans="1:19" ht="12.75" x14ac:dyDescent="0.2">
      <c r="A29" s="5">
        <v>25</v>
      </c>
      <c r="B29" s="19">
        <v>4926</v>
      </c>
      <c r="C29" s="19">
        <v>2107</v>
      </c>
      <c r="D29" s="11"/>
      <c r="E29" s="5">
        <v>25</v>
      </c>
      <c r="F29" s="19">
        <v>42501</v>
      </c>
      <c r="G29" s="19">
        <v>22877</v>
      </c>
      <c r="H29" s="11"/>
      <c r="I29" s="5">
        <v>25</v>
      </c>
      <c r="J29" s="19">
        <v>24800</v>
      </c>
      <c r="K29" s="19">
        <v>0</v>
      </c>
      <c r="L29" s="1"/>
      <c r="M29" s="74" t="s">
        <v>182</v>
      </c>
      <c r="N29" s="74">
        <v>10200</v>
      </c>
      <c r="O29" s="1"/>
      <c r="P29" s="19" t="s">
        <v>141</v>
      </c>
      <c r="Q29" s="4">
        <f>Q27-Q28</f>
        <v>175940</v>
      </c>
    </row>
    <row r="30" spans="1:19" ht="12.75" x14ac:dyDescent="0.2">
      <c r="A30" s="5">
        <v>26</v>
      </c>
      <c r="B30" s="19">
        <v>2951</v>
      </c>
      <c r="C30" s="19">
        <v>2424</v>
      </c>
      <c r="D30" s="11"/>
      <c r="E30" s="5">
        <v>26</v>
      </c>
      <c r="F30" s="19">
        <v>43809</v>
      </c>
      <c r="G30" s="19">
        <v>22266</v>
      </c>
      <c r="H30" s="11"/>
      <c r="I30" s="5">
        <v>26</v>
      </c>
      <c r="J30" s="19">
        <v>800</v>
      </c>
      <c r="K30" s="19">
        <v>0</v>
      </c>
      <c r="L30" s="1"/>
      <c r="M30" s="12" t="s">
        <v>36</v>
      </c>
      <c r="N30" s="13">
        <f>SUM(N19:N29)</f>
        <v>191160</v>
      </c>
      <c r="O30" s="1"/>
      <c r="P30" s="1"/>
      <c r="Q30" s="11"/>
    </row>
    <row r="31" spans="1:19" ht="12.75" x14ac:dyDescent="0.2">
      <c r="A31" s="5">
        <v>27</v>
      </c>
      <c r="B31" s="19">
        <v>310</v>
      </c>
      <c r="C31" s="19">
        <v>310</v>
      </c>
      <c r="D31" s="11"/>
      <c r="E31" s="5">
        <v>27</v>
      </c>
      <c r="F31" s="19">
        <v>57730</v>
      </c>
      <c r="G31" s="19">
        <v>34411</v>
      </c>
      <c r="H31" s="11"/>
      <c r="I31" s="5">
        <v>27</v>
      </c>
      <c r="J31" s="19">
        <v>14100</v>
      </c>
      <c r="K31" s="19">
        <v>0</v>
      </c>
      <c r="L31" s="1"/>
      <c r="M31" s="1"/>
      <c r="N31" s="1"/>
      <c r="O31" s="1"/>
      <c r="P31" s="1"/>
      <c r="Q31" s="1"/>
    </row>
    <row r="32" spans="1:19" ht="12.75" x14ac:dyDescent="0.2">
      <c r="A32" s="5">
        <v>28</v>
      </c>
      <c r="B32" s="19">
        <v>2865</v>
      </c>
      <c r="C32" s="19">
        <v>1080</v>
      </c>
      <c r="D32" s="11"/>
      <c r="E32" s="5">
        <v>28</v>
      </c>
      <c r="F32" s="19">
        <v>39794</v>
      </c>
      <c r="G32" s="19">
        <v>14613</v>
      </c>
      <c r="H32" s="1"/>
      <c r="I32" s="5">
        <v>28</v>
      </c>
      <c r="J32" s="19">
        <v>1500</v>
      </c>
      <c r="K32" s="19">
        <v>0</v>
      </c>
      <c r="L32" s="1"/>
      <c r="M32" s="81" t="s">
        <v>53</v>
      </c>
      <c r="N32" s="79"/>
      <c r="O32" s="1"/>
      <c r="P32" s="1"/>
      <c r="Q32" s="1"/>
    </row>
    <row r="33" spans="1:17" ht="12.75" x14ac:dyDescent="0.2">
      <c r="A33" s="5">
        <v>29</v>
      </c>
      <c r="B33" s="19">
        <v>3364</v>
      </c>
      <c r="C33" s="19">
        <v>2232</v>
      </c>
      <c r="D33" s="11"/>
      <c r="E33" s="5">
        <v>29</v>
      </c>
      <c r="F33" s="19">
        <v>65305</v>
      </c>
      <c r="G33" s="19">
        <v>33990</v>
      </c>
      <c r="H33" s="1"/>
      <c r="I33" s="5">
        <v>29</v>
      </c>
      <c r="J33" s="19">
        <v>25600</v>
      </c>
      <c r="K33" s="19">
        <v>0</v>
      </c>
      <c r="L33" s="1"/>
      <c r="M33" s="2" t="s">
        <v>39</v>
      </c>
      <c r="N33" s="3" t="s">
        <v>6</v>
      </c>
      <c r="O33" s="1"/>
      <c r="P33" s="1"/>
      <c r="Q33" s="1"/>
    </row>
    <row r="34" spans="1:17" ht="12.75" x14ac:dyDescent="0.2">
      <c r="A34" s="5">
        <v>30</v>
      </c>
      <c r="B34" s="19">
        <v>1660</v>
      </c>
      <c r="C34" s="19">
        <v>1380</v>
      </c>
      <c r="D34" s="11"/>
      <c r="E34" s="5">
        <v>30</v>
      </c>
      <c r="F34" s="19">
        <v>61195</v>
      </c>
      <c r="G34" s="19">
        <v>22449</v>
      </c>
      <c r="H34" s="1"/>
      <c r="I34" s="5">
        <v>30</v>
      </c>
      <c r="J34" s="19">
        <v>32700</v>
      </c>
      <c r="K34" s="19">
        <v>0</v>
      </c>
      <c r="L34" s="11"/>
      <c r="M34" s="19" t="s">
        <v>157</v>
      </c>
      <c r="N34" s="19">
        <v>15000</v>
      </c>
      <c r="O34" s="11">
        <v>5000</v>
      </c>
      <c r="P34" s="1"/>
      <c r="Q34" s="1"/>
    </row>
    <row r="35" spans="1:17" ht="12.75" x14ac:dyDescent="0.2">
      <c r="A35" s="12" t="s">
        <v>36</v>
      </c>
      <c r="B35" s="13">
        <f t="shared" ref="B35:C35" si="0">SUM(B5:B34)+B37</f>
        <v>75937</v>
      </c>
      <c r="C35" s="13">
        <f t="shared" si="0"/>
        <v>41522</v>
      </c>
      <c r="D35" s="1"/>
      <c r="E35" s="12" t="s">
        <v>36</v>
      </c>
      <c r="F35" s="13">
        <f t="shared" ref="F35:G35" si="1">SUM(F5:F34)+F37</f>
        <v>1206903</v>
      </c>
      <c r="G35" s="13">
        <f t="shared" si="1"/>
        <v>686583</v>
      </c>
      <c r="H35" s="1"/>
      <c r="I35" s="12" t="s">
        <v>36</v>
      </c>
      <c r="J35" s="13">
        <f t="shared" ref="J35:K35" si="2">SUM(J5:J34)+J37</f>
        <v>363000</v>
      </c>
      <c r="K35" s="13">
        <f t="shared" si="2"/>
        <v>0</v>
      </c>
      <c r="L35" s="11"/>
      <c r="M35" s="19" t="s">
        <v>102</v>
      </c>
      <c r="N35" s="19">
        <v>25000</v>
      </c>
      <c r="O35" s="11">
        <v>9000</v>
      </c>
      <c r="P35" s="1"/>
      <c r="Q35" s="1"/>
    </row>
    <row r="36" spans="1:17" ht="12.75" x14ac:dyDescent="0.2">
      <c r="A36" s="3" t="s">
        <v>56</v>
      </c>
      <c r="B36" s="82">
        <f>B35-C35</f>
        <v>34415</v>
      </c>
      <c r="C36" s="79"/>
      <c r="D36" s="1"/>
      <c r="E36" s="3" t="s">
        <v>56</v>
      </c>
      <c r="F36" s="82">
        <f>F35-G35</f>
        <v>520320</v>
      </c>
      <c r="G36" s="79"/>
      <c r="H36" s="1"/>
      <c r="I36" s="3" t="s">
        <v>56</v>
      </c>
      <c r="J36" s="82">
        <f>J35-K35</f>
        <v>363000</v>
      </c>
      <c r="K36" s="79"/>
      <c r="M36" s="19" t="s">
        <v>112</v>
      </c>
      <c r="N36" s="19">
        <v>13000</v>
      </c>
      <c r="O36" s="11">
        <v>4000</v>
      </c>
      <c r="P36" s="1"/>
      <c r="Q36" s="1"/>
    </row>
    <row r="37" spans="1:17" ht="12.75" x14ac:dyDescent="0.2">
      <c r="A37" s="5">
        <v>31</v>
      </c>
      <c r="B37" s="19">
        <v>0</v>
      </c>
      <c r="C37" s="19">
        <v>0</v>
      </c>
      <c r="D37" s="11"/>
      <c r="E37" s="5">
        <v>31</v>
      </c>
      <c r="F37" s="19">
        <v>40140</v>
      </c>
      <c r="G37" s="19">
        <v>16182</v>
      </c>
      <c r="H37" s="1"/>
      <c r="I37" s="5">
        <v>31</v>
      </c>
      <c r="J37" s="19">
        <v>8500</v>
      </c>
      <c r="K37" s="19">
        <v>0</v>
      </c>
      <c r="L37" s="60"/>
      <c r="M37" s="19" t="s">
        <v>142</v>
      </c>
      <c r="N37" s="19">
        <v>15000</v>
      </c>
      <c r="O37" s="11">
        <v>5000</v>
      </c>
      <c r="P37" s="1"/>
      <c r="Q37" s="1"/>
    </row>
    <row r="38" spans="1:17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4" t="s">
        <v>144</v>
      </c>
      <c r="N38" s="54">
        <v>11400</v>
      </c>
      <c r="O38" s="11">
        <v>4000</v>
      </c>
      <c r="P38" s="1">
        <f>C47-C48-Z17-N26-N27</f>
        <v>917735</v>
      </c>
      <c r="Q38" s="1"/>
    </row>
    <row r="39" spans="1:17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1"/>
      <c r="M39" s="19" t="s">
        <v>162</v>
      </c>
      <c r="N39" s="19">
        <v>11000</v>
      </c>
      <c r="O39" s="11">
        <v>4000</v>
      </c>
      <c r="P39" s="1"/>
      <c r="Q39" s="1"/>
    </row>
    <row r="40" spans="1:1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1"/>
      <c r="M40" s="19" t="s">
        <v>149</v>
      </c>
      <c r="N40" s="19">
        <v>12000</v>
      </c>
      <c r="O40" s="11">
        <v>4000</v>
      </c>
      <c r="P40" s="1"/>
      <c r="Q40" s="1"/>
    </row>
    <row r="41" spans="1:17" ht="12.75" x14ac:dyDescent="0.2">
      <c r="A41" s="1"/>
      <c r="B41" s="1"/>
      <c r="C41" s="1"/>
      <c r="D41" s="1"/>
      <c r="E41" s="1"/>
      <c r="F41" s="1"/>
      <c r="G41" s="83" t="s">
        <v>130</v>
      </c>
      <c r="H41" s="79"/>
      <c r="I41" s="1"/>
      <c r="J41" s="1"/>
      <c r="K41" s="1"/>
      <c r="L41" s="11" t="s">
        <v>183</v>
      </c>
      <c r="M41" s="19" t="s">
        <v>184</v>
      </c>
      <c r="N41" s="19">
        <v>14000</v>
      </c>
      <c r="O41" s="11">
        <v>5000</v>
      </c>
      <c r="P41" s="1"/>
      <c r="Q41" s="1"/>
    </row>
    <row r="42" spans="1:17" ht="12.75" x14ac:dyDescent="0.2">
      <c r="A42" s="1"/>
      <c r="B42" s="1"/>
      <c r="C42" s="1"/>
      <c r="D42" s="1"/>
      <c r="E42" s="1"/>
      <c r="F42" s="1"/>
      <c r="G42" s="19" t="s">
        <v>106</v>
      </c>
      <c r="H42" s="19" t="s">
        <v>131</v>
      </c>
      <c r="I42" s="1"/>
      <c r="J42" s="1"/>
      <c r="K42" s="1"/>
      <c r="L42" s="11"/>
      <c r="M42" s="19" t="s">
        <v>33</v>
      </c>
      <c r="N42" s="19">
        <v>10000</v>
      </c>
      <c r="O42" s="11">
        <v>4000</v>
      </c>
      <c r="P42" s="1"/>
      <c r="Q42" s="1"/>
    </row>
    <row r="43" spans="1:17" ht="12.75" x14ac:dyDescent="0.2">
      <c r="A43" s="1"/>
      <c r="B43" s="1"/>
      <c r="C43" s="1"/>
      <c r="D43" s="1"/>
      <c r="E43" s="1"/>
      <c r="F43" s="1"/>
      <c r="G43" s="62"/>
      <c r="H43" s="19"/>
      <c r="I43" s="1"/>
      <c r="J43" s="1"/>
      <c r="K43" s="1"/>
      <c r="L43" s="1"/>
      <c r="M43" s="19" t="s">
        <v>177</v>
      </c>
      <c r="N43" s="19">
        <v>400</v>
      </c>
      <c r="O43" s="11"/>
      <c r="P43" s="1"/>
      <c r="Q43" s="1"/>
    </row>
    <row r="44" spans="1:17" ht="12.75" x14ac:dyDescent="0.2">
      <c r="A44" s="1"/>
      <c r="B44" s="1"/>
      <c r="C44" s="1"/>
      <c r="D44" s="1"/>
      <c r="E44" s="1"/>
      <c r="F44" s="1"/>
      <c r="G44" s="62"/>
      <c r="H44" s="19"/>
      <c r="I44" s="1"/>
      <c r="J44" s="1"/>
      <c r="K44" s="1"/>
      <c r="L44" s="1"/>
      <c r="M44" s="19"/>
      <c r="N44" s="19"/>
      <c r="O44" s="11"/>
      <c r="P44" s="1"/>
      <c r="Q44" s="1"/>
    </row>
    <row r="45" spans="1:17" ht="12.75" x14ac:dyDescent="0.2">
      <c r="A45" s="1"/>
      <c r="B45" s="1"/>
      <c r="C45" s="1"/>
      <c r="D45" s="1"/>
      <c r="E45" s="1"/>
      <c r="F45" s="1"/>
      <c r="G45" s="62"/>
      <c r="H45" s="19"/>
      <c r="I45" s="1"/>
      <c r="J45" s="1"/>
      <c r="K45" s="1"/>
      <c r="L45" s="1"/>
      <c r="M45" s="4"/>
      <c r="N45" s="4"/>
      <c r="O45" s="1">
        <f>SUM(O4:O44)</f>
        <v>93000</v>
      </c>
      <c r="P45" s="1"/>
      <c r="Q45" s="1"/>
    </row>
    <row r="46" spans="1:17" ht="12.75" x14ac:dyDescent="0.2">
      <c r="A46" s="1"/>
      <c r="B46" s="1"/>
      <c r="C46" s="1"/>
      <c r="D46" s="1"/>
      <c r="E46" s="1"/>
      <c r="F46" s="1"/>
      <c r="G46" s="62"/>
      <c r="H46" s="19"/>
      <c r="I46" s="1"/>
      <c r="J46" s="1"/>
      <c r="K46" s="1"/>
      <c r="L46" s="1"/>
      <c r="M46" s="4"/>
      <c r="N46" s="4"/>
      <c r="O46" s="1"/>
      <c r="P46" s="1"/>
      <c r="Q46" s="1"/>
    </row>
    <row r="47" spans="1:17" ht="12.75" x14ac:dyDescent="0.2">
      <c r="A47" s="1"/>
      <c r="B47" s="1"/>
      <c r="C47" s="1">
        <f>(B35+F35+J35)</f>
        <v>1645840</v>
      </c>
      <c r="D47" s="1"/>
      <c r="E47" s="1"/>
      <c r="F47" s="1"/>
      <c r="G47" s="62"/>
      <c r="H47" s="19"/>
      <c r="I47" s="1"/>
      <c r="J47" s="1"/>
      <c r="K47" s="1"/>
      <c r="L47" s="1"/>
      <c r="M47" s="4"/>
      <c r="N47" s="4"/>
      <c r="O47" s="1"/>
      <c r="P47" s="1"/>
      <c r="Q47" s="1"/>
    </row>
    <row r="48" spans="1:17" ht="12.75" x14ac:dyDescent="0.2">
      <c r="A48" s="1"/>
      <c r="B48" s="1"/>
      <c r="C48" s="42">
        <f>C35+G35</f>
        <v>728105</v>
      </c>
      <c r="D48" s="1"/>
      <c r="E48" s="1"/>
      <c r="F48" s="1"/>
      <c r="G48" s="62"/>
      <c r="H48" s="19"/>
      <c r="I48" s="1"/>
      <c r="J48" s="1"/>
      <c r="K48" s="1"/>
      <c r="L48" s="1"/>
      <c r="M48" s="4"/>
      <c r="N48" s="4"/>
      <c r="O48" s="1"/>
      <c r="P48" s="11">
        <v>105100</v>
      </c>
      <c r="Q48" s="1"/>
    </row>
    <row r="49" spans="1:17" ht="12.75" x14ac:dyDescent="0.2">
      <c r="A49" s="1"/>
      <c r="B49" s="1"/>
      <c r="C49" s="1">
        <f>C48/C47</f>
        <v>0.442391119428377</v>
      </c>
      <c r="D49" s="1"/>
      <c r="E49" s="1"/>
      <c r="F49" s="1"/>
      <c r="G49" s="62"/>
      <c r="H49" s="19"/>
      <c r="I49" s="1"/>
      <c r="J49" s="1"/>
      <c r="K49" s="1"/>
      <c r="L49" s="1"/>
      <c r="M49" s="4"/>
      <c r="N49" s="4"/>
      <c r="O49" s="1"/>
      <c r="P49" s="1"/>
      <c r="Q49" s="1"/>
    </row>
    <row r="50" spans="1:17" ht="12.75" x14ac:dyDescent="0.2">
      <c r="A50" s="1"/>
      <c r="B50" s="1"/>
      <c r="C50" s="1"/>
      <c r="D50" s="1"/>
      <c r="E50" s="1"/>
      <c r="F50" s="1"/>
      <c r="G50" s="21"/>
      <c r="H50" s="19"/>
      <c r="I50" s="1"/>
      <c r="J50" s="1"/>
      <c r="K50" s="1"/>
      <c r="L50" s="1"/>
      <c r="M50" s="4"/>
      <c r="N50" s="4"/>
      <c r="O50" s="1"/>
      <c r="P50" s="1"/>
      <c r="Q50" s="1"/>
    </row>
    <row r="51" spans="1:17" ht="12.75" x14ac:dyDescent="0.2">
      <c r="A51" s="1"/>
      <c r="B51" s="1"/>
      <c r="C51" s="1"/>
      <c r="D51" s="1"/>
      <c r="E51" s="1"/>
      <c r="F51" s="1"/>
      <c r="G51" s="4"/>
      <c r="H51" s="4"/>
      <c r="I51" s="1"/>
      <c r="J51" s="1"/>
      <c r="K51" s="1"/>
      <c r="L51" s="1"/>
      <c r="M51" s="4"/>
      <c r="N51" s="4"/>
      <c r="O51" s="1"/>
      <c r="P51" s="1"/>
      <c r="Q51" s="1"/>
    </row>
    <row r="52" spans="1:1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4"/>
      <c r="O52" s="1"/>
      <c r="P52" s="1"/>
      <c r="Q52" s="1"/>
    </row>
    <row r="53" spans="1:1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4"/>
      <c r="O53" s="1"/>
      <c r="P53" s="1"/>
      <c r="Q53" s="1"/>
    </row>
    <row r="54" spans="1:1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4"/>
      <c r="O54" s="1"/>
      <c r="P54" s="1"/>
      <c r="Q54" s="1"/>
    </row>
    <row r="55" spans="1:1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 t="s">
        <v>36</v>
      </c>
      <c r="N55" s="5">
        <f>SUM(N34:N54)</f>
        <v>126800</v>
      </c>
      <c r="O55" s="1"/>
      <c r="P55" s="1"/>
      <c r="Q55" s="1"/>
    </row>
  </sheetData>
  <mergeCells count="12">
    <mergeCell ref="M17:N17"/>
    <mergeCell ref="P17:Q17"/>
    <mergeCell ref="A1:P1"/>
    <mergeCell ref="M2:N2"/>
    <mergeCell ref="A3:C3"/>
    <mergeCell ref="E3:G3"/>
    <mergeCell ref="I3:K3"/>
    <mergeCell ref="M32:N32"/>
    <mergeCell ref="B36:C36"/>
    <mergeCell ref="F36:G36"/>
    <mergeCell ref="J36:K36"/>
    <mergeCell ref="G41:H41"/>
  </mergeCells>
  <hyperlinks>
    <hyperlink ref="M22" r:id="rId1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S55"/>
  <sheetViews>
    <sheetView topLeftCell="A40" workbookViewId="0">
      <selection activeCell="N55" sqref="N55"/>
    </sheetView>
  </sheetViews>
  <sheetFormatPr defaultColWidth="12.5703125" defaultRowHeight="15.75" customHeight="1" x14ac:dyDescent="0.2"/>
  <cols>
    <col min="1" max="1" width="6" customWidth="1"/>
    <col min="2" max="2" width="6.42578125" customWidth="1"/>
    <col min="3" max="3" width="6.5703125" customWidth="1"/>
    <col min="4" max="4" width="4.7109375" customWidth="1"/>
    <col min="5" max="5" width="6.5703125" customWidth="1"/>
    <col min="6" max="6" width="6.42578125" customWidth="1"/>
    <col min="7" max="7" width="6.5703125" customWidth="1"/>
    <col min="8" max="8" width="4.5703125" customWidth="1"/>
    <col min="9" max="9" width="5.42578125" customWidth="1"/>
    <col min="10" max="10" width="6.42578125" customWidth="1"/>
    <col min="11" max="11" width="6.5703125" customWidth="1"/>
    <col min="12" max="12" width="5.42578125" customWidth="1"/>
    <col min="13" max="13" width="12.5703125" customWidth="1"/>
    <col min="14" max="14" width="6.7109375" customWidth="1"/>
    <col min="15" max="15" width="5.5703125" customWidth="1"/>
    <col min="16" max="16" width="11.42578125" customWidth="1"/>
    <col min="17" max="17" width="7.140625" customWidth="1"/>
  </cols>
  <sheetData>
    <row r="1" spans="1:17" ht="12.75" x14ac:dyDescent="0.2">
      <c r="A1" s="80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79"/>
      <c r="Q1" s="1"/>
    </row>
    <row r="2" spans="1:17" ht="12.7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5" t="s">
        <v>1</v>
      </c>
      <c r="N2" s="79"/>
      <c r="O2" s="1"/>
      <c r="P2" s="1"/>
      <c r="Q2" s="1"/>
    </row>
    <row r="3" spans="1:17" ht="12.75" x14ac:dyDescent="0.2">
      <c r="A3" s="86" t="s">
        <v>2</v>
      </c>
      <c r="B3" s="84"/>
      <c r="C3" s="79"/>
      <c r="D3" s="1"/>
      <c r="E3" s="87" t="s">
        <v>3</v>
      </c>
      <c r="F3" s="84"/>
      <c r="G3" s="79"/>
      <c r="H3" s="1"/>
      <c r="I3" s="88" t="s">
        <v>4</v>
      </c>
      <c r="J3" s="84"/>
      <c r="K3" s="79"/>
      <c r="L3" s="1"/>
      <c r="M3" s="2" t="s">
        <v>5</v>
      </c>
      <c r="N3" s="3" t="s">
        <v>6</v>
      </c>
      <c r="O3" s="1"/>
      <c r="P3" s="1"/>
      <c r="Q3" s="1"/>
    </row>
    <row r="4" spans="1:17" ht="12.75" x14ac:dyDescent="0.2">
      <c r="A4" s="4" t="s">
        <v>7</v>
      </c>
      <c r="B4" s="4" t="s">
        <v>8</v>
      </c>
      <c r="C4" s="4" t="s">
        <v>9</v>
      </c>
      <c r="D4" s="1"/>
      <c r="E4" s="4" t="s">
        <v>7</v>
      </c>
      <c r="F4" s="4" t="s">
        <v>8</v>
      </c>
      <c r="G4" s="4" t="s">
        <v>9</v>
      </c>
      <c r="H4" s="1"/>
      <c r="I4" s="4" t="s">
        <v>7</v>
      </c>
      <c r="J4" s="4" t="s">
        <v>8</v>
      </c>
      <c r="K4" s="4" t="s">
        <v>9</v>
      </c>
      <c r="L4" s="1"/>
      <c r="M4" s="16" t="s">
        <v>69</v>
      </c>
      <c r="N4" s="16">
        <v>20000</v>
      </c>
      <c r="O4" s="11">
        <v>7000</v>
      </c>
      <c r="P4" s="1"/>
      <c r="Q4" s="1"/>
    </row>
    <row r="5" spans="1:17" ht="12.75" x14ac:dyDescent="0.2">
      <c r="A5" s="5">
        <v>1</v>
      </c>
      <c r="B5" s="20">
        <v>6500</v>
      </c>
      <c r="C5" s="20">
        <v>3355</v>
      </c>
      <c r="D5" s="11"/>
      <c r="E5" s="5">
        <v>1</v>
      </c>
      <c r="F5" s="20">
        <v>36588</v>
      </c>
      <c r="G5" s="20">
        <v>29296</v>
      </c>
      <c r="H5" s="7"/>
      <c r="I5" s="5">
        <v>1</v>
      </c>
      <c r="J5" s="20">
        <v>2100</v>
      </c>
      <c r="K5" s="20">
        <v>0</v>
      </c>
      <c r="L5" s="1"/>
      <c r="M5" s="4" t="s">
        <v>12</v>
      </c>
      <c r="N5" s="20">
        <v>20000</v>
      </c>
      <c r="O5" s="11">
        <v>7000</v>
      </c>
      <c r="P5" s="1"/>
      <c r="Q5" s="1"/>
    </row>
    <row r="6" spans="1:17" ht="12.75" x14ac:dyDescent="0.2">
      <c r="A6" s="5">
        <v>2</v>
      </c>
      <c r="B6" s="20">
        <v>1345</v>
      </c>
      <c r="C6" s="20">
        <v>200</v>
      </c>
      <c r="D6" s="29"/>
      <c r="E6" s="5">
        <v>2</v>
      </c>
      <c r="F6" s="20">
        <v>39366</v>
      </c>
      <c r="G6" s="20">
        <v>32147</v>
      </c>
      <c r="H6" s="7"/>
      <c r="I6" s="5">
        <v>2</v>
      </c>
      <c r="J6" s="20">
        <v>10100</v>
      </c>
      <c r="K6" s="20">
        <v>0</v>
      </c>
      <c r="L6" s="11"/>
      <c r="M6" s="4" t="s">
        <v>15</v>
      </c>
      <c r="N6" s="20">
        <v>18000</v>
      </c>
      <c r="O6" s="11">
        <v>6000</v>
      </c>
      <c r="P6" s="1"/>
      <c r="Q6" s="1"/>
    </row>
    <row r="7" spans="1:17" ht="12.75" x14ac:dyDescent="0.2">
      <c r="A7" s="5">
        <v>3</v>
      </c>
      <c r="B7" s="20">
        <v>1585</v>
      </c>
      <c r="C7" s="20">
        <v>395</v>
      </c>
      <c r="D7" s="7"/>
      <c r="E7" s="5">
        <v>3</v>
      </c>
      <c r="F7" s="20">
        <v>35430</v>
      </c>
      <c r="G7" s="20">
        <v>19366</v>
      </c>
      <c r="H7" s="7"/>
      <c r="I7" s="5">
        <v>3</v>
      </c>
      <c r="J7" s="20">
        <v>1900</v>
      </c>
      <c r="K7" s="20">
        <v>0</v>
      </c>
      <c r="L7" s="11"/>
      <c r="M7" s="4"/>
      <c r="N7" s="20"/>
      <c r="O7" s="11"/>
      <c r="P7" s="1"/>
      <c r="Q7" s="1"/>
    </row>
    <row r="8" spans="1:17" ht="12.75" x14ac:dyDescent="0.2">
      <c r="A8" s="5">
        <v>4</v>
      </c>
      <c r="B8" s="19">
        <v>720</v>
      </c>
      <c r="C8" s="19">
        <v>717</v>
      </c>
      <c r="D8" s="11"/>
      <c r="E8" s="5">
        <v>4</v>
      </c>
      <c r="F8" s="19">
        <v>33386</v>
      </c>
      <c r="G8" s="19">
        <v>15156</v>
      </c>
      <c r="H8" s="11"/>
      <c r="I8" s="5">
        <v>4</v>
      </c>
      <c r="J8" s="19">
        <v>0</v>
      </c>
      <c r="K8" s="19">
        <v>0</v>
      </c>
      <c r="L8" s="1"/>
      <c r="M8" s="4" t="s">
        <v>22</v>
      </c>
      <c r="N8" s="20">
        <v>17000</v>
      </c>
      <c r="O8" s="11">
        <v>6000</v>
      </c>
      <c r="P8" s="1"/>
      <c r="Q8" s="1"/>
    </row>
    <row r="9" spans="1:17" ht="12.75" x14ac:dyDescent="0.2">
      <c r="A9" s="5">
        <v>5</v>
      </c>
      <c r="B9" s="19">
        <v>3840</v>
      </c>
      <c r="C9" s="19">
        <v>1470</v>
      </c>
      <c r="D9" s="11"/>
      <c r="E9" s="5">
        <v>5</v>
      </c>
      <c r="F9" s="19">
        <v>84386</v>
      </c>
      <c r="G9" s="19">
        <v>30434</v>
      </c>
      <c r="H9" s="11"/>
      <c r="I9" s="5">
        <v>5</v>
      </c>
      <c r="J9" s="19">
        <v>1000</v>
      </c>
      <c r="K9" s="19">
        <v>0</v>
      </c>
      <c r="L9" s="1"/>
      <c r="M9" s="4"/>
      <c r="N9" s="20"/>
      <c r="O9" s="11"/>
      <c r="P9" s="1"/>
      <c r="Q9" s="1"/>
    </row>
    <row r="10" spans="1:17" ht="12.75" x14ac:dyDescent="0.2">
      <c r="A10" s="5">
        <v>6</v>
      </c>
      <c r="B10" s="19">
        <v>5216</v>
      </c>
      <c r="C10" s="19">
        <v>3457</v>
      </c>
      <c r="D10" s="11"/>
      <c r="E10" s="5">
        <v>6</v>
      </c>
      <c r="F10" s="19">
        <v>55691</v>
      </c>
      <c r="G10" s="19">
        <v>21847</v>
      </c>
      <c r="H10" s="11"/>
      <c r="I10" s="5">
        <v>6</v>
      </c>
      <c r="J10" s="19">
        <v>10800</v>
      </c>
      <c r="K10" s="19">
        <v>0</v>
      </c>
      <c r="L10" s="11"/>
      <c r="M10" s="19"/>
      <c r="N10" s="20"/>
      <c r="O10" s="11"/>
      <c r="P10" s="1"/>
      <c r="Q10" s="1"/>
    </row>
    <row r="11" spans="1:17" ht="12.75" x14ac:dyDescent="0.2">
      <c r="A11" s="5">
        <v>7</v>
      </c>
      <c r="B11" s="19">
        <v>0</v>
      </c>
      <c r="C11" s="19">
        <v>0</v>
      </c>
      <c r="D11" s="11"/>
      <c r="E11" s="5">
        <v>7</v>
      </c>
      <c r="F11" s="19">
        <v>41333</v>
      </c>
      <c r="G11" s="19">
        <v>20753</v>
      </c>
      <c r="H11" s="11"/>
      <c r="I11" s="5">
        <v>7</v>
      </c>
      <c r="J11" s="19">
        <v>2600</v>
      </c>
      <c r="K11" s="19">
        <v>0</v>
      </c>
      <c r="L11" s="11"/>
      <c r="M11" s="19" t="s">
        <v>29</v>
      </c>
      <c r="N11" s="20">
        <v>20000</v>
      </c>
      <c r="O11" s="40">
        <v>7000</v>
      </c>
      <c r="P11" s="1"/>
      <c r="Q11" s="1"/>
    </row>
    <row r="12" spans="1:17" ht="12.75" x14ac:dyDescent="0.2">
      <c r="A12" s="5">
        <v>8</v>
      </c>
      <c r="B12" s="19">
        <v>3060</v>
      </c>
      <c r="C12" s="19">
        <v>2869</v>
      </c>
      <c r="D12" s="11"/>
      <c r="E12" s="5">
        <v>8</v>
      </c>
      <c r="F12" s="19">
        <v>32505</v>
      </c>
      <c r="G12" s="19">
        <v>25080</v>
      </c>
      <c r="H12" s="11"/>
      <c r="I12" s="5">
        <v>8</v>
      </c>
      <c r="J12" s="19">
        <v>12000</v>
      </c>
      <c r="K12" s="19">
        <v>0</v>
      </c>
      <c r="L12" s="11"/>
      <c r="M12" s="19" t="s">
        <v>74</v>
      </c>
      <c r="N12" s="20">
        <v>15000</v>
      </c>
      <c r="O12" s="11">
        <v>5000</v>
      </c>
      <c r="P12" s="1"/>
      <c r="Q12" s="1"/>
    </row>
    <row r="13" spans="1:17" ht="12.75" x14ac:dyDescent="0.2">
      <c r="A13" s="5">
        <v>9</v>
      </c>
      <c r="B13" s="19">
        <v>6238</v>
      </c>
      <c r="C13" s="19">
        <v>3966</v>
      </c>
      <c r="D13" s="11"/>
      <c r="E13" s="5">
        <v>9</v>
      </c>
      <c r="F13" s="19">
        <v>43744</v>
      </c>
      <c r="G13" s="19">
        <v>16326</v>
      </c>
      <c r="H13" s="11"/>
      <c r="I13" s="5">
        <v>9</v>
      </c>
      <c r="J13" s="19">
        <v>2800</v>
      </c>
      <c r="K13" s="19">
        <v>0</v>
      </c>
      <c r="L13" s="11"/>
      <c r="M13" s="19" t="s">
        <v>87</v>
      </c>
      <c r="N13" s="19">
        <v>15070</v>
      </c>
      <c r="O13" s="11">
        <v>5000</v>
      </c>
      <c r="P13" s="1"/>
      <c r="Q13" s="1"/>
    </row>
    <row r="14" spans="1:17" ht="12.75" x14ac:dyDescent="0.2">
      <c r="A14" s="5">
        <v>10</v>
      </c>
      <c r="B14" s="19">
        <v>2880</v>
      </c>
      <c r="C14" s="19">
        <v>1230</v>
      </c>
      <c r="D14" s="11"/>
      <c r="E14" s="5">
        <v>10</v>
      </c>
      <c r="F14" s="19">
        <v>25953</v>
      </c>
      <c r="G14" s="19">
        <v>18711</v>
      </c>
      <c r="H14" s="11"/>
      <c r="I14" s="5">
        <v>10</v>
      </c>
      <c r="J14" s="19">
        <v>17700</v>
      </c>
      <c r="K14" s="19">
        <v>0</v>
      </c>
      <c r="L14" s="1"/>
      <c r="M14" s="19" t="s">
        <v>134</v>
      </c>
      <c r="N14" s="19">
        <v>17000</v>
      </c>
      <c r="O14" s="11">
        <v>6000</v>
      </c>
      <c r="P14" s="1"/>
      <c r="Q14" s="1"/>
    </row>
    <row r="15" spans="1:17" ht="12.75" x14ac:dyDescent="0.2">
      <c r="A15" s="5">
        <v>11</v>
      </c>
      <c r="B15" s="19">
        <v>1775</v>
      </c>
      <c r="C15" s="19">
        <v>1260</v>
      </c>
      <c r="D15" s="11"/>
      <c r="E15" s="5">
        <v>11</v>
      </c>
      <c r="F15" s="19">
        <v>35878</v>
      </c>
      <c r="G15" s="19">
        <v>20690</v>
      </c>
      <c r="H15" s="11"/>
      <c r="I15" s="5">
        <v>11</v>
      </c>
      <c r="J15" s="19">
        <v>1600</v>
      </c>
      <c r="K15" s="19">
        <v>0</v>
      </c>
      <c r="L15" s="1"/>
      <c r="M15" s="12" t="s">
        <v>79</v>
      </c>
      <c r="N15" s="13">
        <f>SUM(N4:N14)</f>
        <v>142070</v>
      </c>
      <c r="O15" s="1"/>
      <c r="P15" s="1"/>
      <c r="Q15" s="1"/>
    </row>
    <row r="16" spans="1:17" ht="12.75" x14ac:dyDescent="0.2">
      <c r="A16" s="5">
        <v>12</v>
      </c>
      <c r="B16" s="19">
        <v>787</v>
      </c>
      <c r="C16" s="19">
        <v>785</v>
      </c>
      <c r="D16" s="11"/>
      <c r="E16" s="5">
        <v>12</v>
      </c>
      <c r="F16" s="19">
        <v>55480</v>
      </c>
      <c r="G16" s="19">
        <v>32844</v>
      </c>
      <c r="H16" s="11"/>
      <c r="I16" s="5">
        <v>12</v>
      </c>
      <c r="J16" s="19">
        <v>2900</v>
      </c>
      <c r="K16" s="19">
        <v>0</v>
      </c>
      <c r="L16" s="1"/>
      <c r="M16" s="25"/>
      <c r="N16" s="6"/>
      <c r="O16" s="1"/>
      <c r="P16" s="1"/>
      <c r="Q16" s="1"/>
    </row>
    <row r="17" spans="1:19" ht="12.75" x14ac:dyDescent="0.2">
      <c r="A17" s="5">
        <v>13</v>
      </c>
      <c r="B17" s="19">
        <v>7080</v>
      </c>
      <c r="C17" s="19">
        <v>1724</v>
      </c>
      <c r="D17" s="11"/>
      <c r="E17" s="5">
        <v>13</v>
      </c>
      <c r="F17" s="19">
        <v>60098</v>
      </c>
      <c r="G17" s="19">
        <v>23398</v>
      </c>
      <c r="H17" s="11"/>
      <c r="I17" s="5">
        <v>13</v>
      </c>
      <c r="J17" s="19">
        <v>1600</v>
      </c>
      <c r="K17" s="19">
        <v>0</v>
      </c>
      <c r="L17" s="1"/>
      <c r="M17" s="78" t="s">
        <v>37</v>
      </c>
      <c r="N17" s="79"/>
      <c r="O17" s="1"/>
      <c r="P17" s="80" t="s">
        <v>38</v>
      </c>
      <c r="Q17" s="79"/>
    </row>
    <row r="18" spans="1:19" ht="12.75" x14ac:dyDescent="0.2">
      <c r="A18" s="5">
        <v>14</v>
      </c>
      <c r="B18" s="19">
        <v>0</v>
      </c>
      <c r="C18" s="19">
        <v>0</v>
      </c>
      <c r="D18" s="11"/>
      <c r="E18" s="5">
        <v>14</v>
      </c>
      <c r="F18" s="19">
        <v>29740</v>
      </c>
      <c r="G18" s="19">
        <v>11984</v>
      </c>
      <c r="H18" s="11"/>
      <c r="I18" s="5">
        <v>14</v>
      </c>
      <c r="J18" s="19">
        <v>500</v>
      </c>
      <c r="K18" s="19">
        <v>0</v>
      </c>
      <c r="L18" s="1"/>
      <c r="M18" s="2" t="s">
        <v>39</v>
      </c>
      <c r="N18" s="3" t="s">
        <v>6</v>
      </c>
      <c r="O18" s="1"/>
      <c r="P18" s="2" t="s">
        <v>5</v>
      </c>
      <c r="Q18" s="3" t="s">
        <v>6</v>
      </c>
    </row>
    <row r="19" spans="1:19" ht="12.75" x14ac:dyDescent="0.2">
      <c r="A19" s="5">
        <v>15</v>
      </c>
      <c r="B19" s="19">
        <v>6450</v>
      </c>
      <c r="C19" s="19">
        <v>3970</v>
      </c>
      <c r="D19" s="11"/>
      <c r="E19" s="5">
        <v>15</v>
      </c>
      <c r="F19" s="19">
        <v>32948</v>
      </c>
      <c r="G19" s="19">
        <v>32064</v>
      </c>
      <c r="H19" s="11"/>
      <c r="I19" s="5">
        <v>15</v>
      </c>
      <c r="J19" s="19">
        <v>31900</v>
      </c>
      <c r="K19" s="19">
        <v>0</v>
      </c>
      <c r="L19" s="1"/>
      <c r="M19" s="4" t="s">
        <v>41</v>
      </c>
      <c r="N19" s="20">
        <v>0</v>
      </c>
      <c r="O19" s="1"/>
      <c r="P19" s="4" t="s">
        <v>42</v>
      </c>
      <c r="Q19" s="5">
        <f>B35+F35+J35</f>
        <v>1660462</v>
      </c>
      <c r="S19" s="42">
        <f>Q21/Q19</f>
        <v>0.28449009974332445</v>
      </c>
    </row>
    <row r="20" spans="1:19" ht="12.75" x14ac:dyDescent="0.2">
      <c r="A20" s="5">
        <v>16</v>
      </c>
      <c r="B20" s="19">
        <v>910</v>
      </c>
      <c r="C20" s="19">
        <v>697</v>
      </c>
      <c r="D20" s="11"/>
      <c r="E20" s="5">
        <v>16</v>
      </c>
      <c r="F20" s="19">
        <v>47763</v>
      </c>
      <c r="G20" s="19">
        <v>19008</v>
      </c>
      <c r="H20" s="11"/>
      <c r="I20" s="5">
        <v>16</v>
      </c>
      <c r="J20" s="19">
        <v>22000</v>
      </c>
      <c r="K20" s="19">
        <v>0</v>
      </c>
      <c r="L20" s="11"/>
      <c r="M20" s="4" t="s">
        <v>43</v>
      </c>
      <c r="N20" s="19">
        <v>68229</v>
      </c>
      <c r="O20" s="1"/>
      <c r="P20" s="4" t="s">
        <v>44</v>
      </c>
      <c r="Q20" s="5">
        <f>C35+G35+K35+N15+N30+N55</f>
        <v>1188077</v>
      </c>
    </row>
    <row r="21" spans="1:19" ht="12.75" x14ac:dyDescent="0.2">
      <c r="A21" s="5">
        <v>17</v>
      </c>
      <c r="B21" s="19">
        <v>1805</v>
      </c>
      <c r="C21" s="19">
        <v>1054</v>
      </c>
      <c r="D21" s="11"/>
      <c r="E21" s="5">
        <v>17</v>
      </c>
      <c r="F21" s="19">
        <v>54317</v>
      </c>
      <c r="G21" s="19">
        <v>34191</v>
      </c>
      <c r="H21" s="11"/>
      <c r="I21" s="5">
        <v>17</v>
      </c>
      <c r="J21" s="19">
        <v>2100</v>
      </c>
      <c r="K21" s="19">
        <v>0</v>
      </c>
      <c r="L21" s="1"/>
      <c r="M21" s="31" t="s">
        <v>46</v>
      </c>
      <c r="N21" s="72">
        <v>3000</v>
      </c>
      <c r="O21" s="1"/>
      <c r="P21" s="26" t="s">
        <v>47</v>
      </c>
      <c r="Q21" s="27">
        <f>Q19-Q20</f>
        <v>472385</v>
      </c>
      <c r="R21" s="40">
        <v>337690</v>
      </c>
    </row>
    <row r="22" spans="1:19" ht="12.75" x14ac:dyDescent="0.2">
      <c r="A22" s="5">
        <v>18</v>
      </c>
      <c r="B22" s="19">
        <v>279</v>
      </c>
      <c r="C22" s="19">
        <v>58</v>
      </c>
      <c r="D22" s="11"/>
      <c r="E22" s="5">
        <v>18</v>
      </c>
      <c r="F22" s="19">
        <v>27530</v>
      </c>
      <c r="G22" s="19">
        <v>17229</v>
      </c>
      <c r="H22" s="11"/>
      <c r="I22" s="5">
        <v>18</v>
      </c>
      <c r="J22" s="19">
        <v>16700</v>
      </c>
      <c r="K22" s="19">
        <v>0</v>
      </c>
      <c r="L22" s="1"/>
      <c r="M22" s="70" t="s">
        <v>166</v>
      </c>
      <c r="N22" s="19"/>
      <c r="O22" s="1"/>
      <c r="P22" s="4" t="s">
        <v>49</v>
      </c>
      <c r="Q22" s="20">
        <v>45000</v>
      </c>
    </row>
    <row r="23" spans="1:19" ht="12.75" x14ac:dyDescent="0.2">
      <c r="A23" s="5">
        <v>19</v>
      </c>
      <c r="B23" s="20">
        <v>2000</v>
      </c>
      <c r="C23" s="67">
        <v>609</v>
      </c>
      <c r="D23" s="11"/>
      <c r="E23" s="5">
        <v>19</v>
      </c>
      <c r="F23" s="19">
        <v>48690</v>
      </c>
      <c r="G23" s="19">
        <v>23945</v>
      </c>
      <c r="H23" s="11"/>
      <c r="I23" s="5">
        <v>19</v>
      </c>
      <c r="J23" s="19">
        <v>500</v>
      </c>
      <c r="K23" s="19">
        <v>0</v>
      </c>
      <c r="L23" s="1"/>
      <c r="M23" s="31" t="s">
        <v>50</v>
      </c>
      <c r="N23" s="72">
        <v>2490</v>
      </c>
      <c r="O23" s="1"/>
      <c r="P23" s="11" t="s">
        <v>133</v>
      </c>
      <c r="Q23" s="1">
        <f>C35+G35+K35</f>
        <v>742488</v>
      </c>
    </row>
    <row r="24" spans="1:19" ht="12.75" x14ac:dyDescent="0.2">
      <c r="A24" s="5">
        <v>20</v>
      </c>
      <c r="B24" s="19">
        <v>3160</v>
      </c>
      <c r="C24" s="19">
        <v>360</v>
      </c>
      <c r="D24" s="11"/>
      <c r="E24" s="5">
        <v>20</v>
      </c>
      <c r="F24" s="19">
        <v>48194</v>
      </c>
      <c r="G24" s="19">
        <v>22201</v>
      </c>
      <c r="H24" s="11"/>
      <c r="I24" s="5">
        <v>20</v>
      </c>
      <c r="J24" s="19">
        <v>600</v>
      </c>
      <c r="K24" s="19">
        <v>0</v>
      </c>
      <c r="L24" s="1"/>
      <c r="M24" s="31" t="s">
        <v>51</v>
      </c>
      <c r="N24" s="72">
        <v>5000</v>
      </c>
      <c r="O24" s="1"/>
      <c r="P24" s="1"/>
      <c r="Q24" s="1"/>
    </row>
    <row r="25" spans="1:19" ht="12.75" x14ac:dyDescent="0.2">
      <c r="A25" s="5">
        <v>21</v>
      </c>
      <c r="B25" s="19">
        <v>0</v>
      </c>
      <c r="C25" s="19">
        <v>0</v>
      </c>
      <c r="D25" s="11"/>
      <c r="E25" s="5">
        <v>21</v>
      </c>
      <c r="F25" s="19">
        <v>44980</v>
      </c>
      <c r="G25" s="19">
        <v>19619</v>
      </c>
      <c r="H25" s="11"/>
      <c r="I25" s="5">
        <v>21</v>
      </c>
      <c r="J25" s="19">
        <v>1000</v>
      </c>
      <c r="K25" s="19">
        <v>0</v>
      </c>
      <c r="L25" s="11"/>
      <c r="M25" s="71" t="s">
        <v>186</v>
      </c>
      <c r="N25" s="19">
        <v>20000</v>
      </c>
      <c r="O25" s="1"/>
      <c r="P25" s="1"/>
      <c r="Q25" s="1"/>
    </row>
    <row r="26" spans="1:19" ht="12.75" x14ac:dyDescent="0.2">
      <c r="A26" s="5">
        <v>22</v>
      </c>
      <c r="B26" s="19">
        <v>2456</v>
      </c>
      <c r="C26" s="19">
        <v>909</v>
      </c>
      <c r="D26" s="11"/>
      <c r="E26" s="5">
        <v>22</v>
      </c>
      <c r="F26" s="19">
        <v>24281</v>
      </c>
      <c r="G26" s="19">
        <v>12500</v>
      </c>
      <c r="H26" s="11"/>
      <c r="I26" s="5">
        <v>22</v>
      </c>
      <c r="J26" s="19">
        <v>26800</v>
      </c>
      <c r="K26" s="19">
        <v>0</v>
      </c>
      <c r="L26" s="1"/>
      <c r="M26" s="19" t="s">
        <v>187</v>
      </c>
      <c r="N26" s="19">
        <v>10000</v>
      </c>
      <c r="O26" s="1"/>
      <c r="P26" s="1"/>
      <c r="Q26" s="1"/>
    </row>
    <row r="27" spans="1:19" ht="15.75" customHeight="1" x14ac:dyDescent="0.4">
      <c r="A27" s="5">
        <v>23</v>
      </c>
      <c r="B27" s="19">
        <v>1160</v>
      </c>
      <c r="C27" s="19">
        <v>1150</v>
      </c>
      <c r="D27" s="11"/>
      <c r="E27" s="5">
        <v>23</v>
      </c>
      <c r="F27" s="19">
        <v>35971</v>
      </c>
      <c r="G27" s="19">
        <v>33172</v>
      </c>
      <c r="H27" s="11"/>
      <c r="I27" s="5">
        <v>23</v>
      </c>
      <c r="J27" s="19">
        <v>10000</v>
      </c>
      <c r="K27" s="19">
        <v>0</v>
      </c>
      <c r="L27" s="1"/>
      <c r="M27" s="19" t="s">
        <v>188</v>
      </c>
      <c r="N27" s="19">
        <v>50000</v>
      </c>
      <c r="O27" s="1"/>
      <c r="P27" s="19" t="s">
        <v>139</v>
      </c>
      <c r="Q27" s="63">
        <f>(N15+N55)-Z17</f>
        <v>276670</v>
      </c>
    </row>
    <row r="28" spans="1:19" ht="15.75" customHeight="1" x14ac:dyDescent="0.4">
      <c r="A28" s="5">
        <v>24</v>
      </c>
      <c r="B28" s="19">
        <v>2110</v>
      </c>
      <c r="C28" s="19">
        <v>1350</v>
      </c>
      <c r="D28" s="11"/>
      <c r="E28" s="5">
        <v>24</v>
      </c>
      <c r="F28" s="19">
        <v>40865</v>
      </c>
      <c r="G28" s="19">
        <v>17135</v>
      </c>
      <c r="H28" s="11"/>
      <c r="I28" s="5">
        <v>24</v>
      </c>
      <c r="J28" s="19">
        <v>9300</v>
      </c>
      <c r="K28" s="19">
        <v>0</v>
      </c>
      <c r="L28" s="1"/>
      <c r="M28" s="19"/>
      <c r="N28" s="19"/>
      <c r="O28" s="1"/>
      <c r="P28" s="19" t="s">
        <v>140</v>
      </c>
      <c r="Q28" s="64">
        <f>O45</f>
        <v>93000</v>
      </c>
    </row>
    <row r="29" spans="1:19" ht="12.75" x14ac:dyDescent="0.2">
      <c r="A29" s="5">
        <v>25</v>
      </c>
      <c r="B29" s="19">
        <v>3240</v>
      </c>
      <c r="C29" s="19">
        <v>467</v>
      </c>
      <c r="D29" s="11"/>
      <c r="E29" s="5">
        <v>25</v>
      </c>
      <c r="F29" s="19">
        <v>59587</v>
      </c>
      <c r="G29" s="19">
        <v>22454</v>
      </c>
      <c r="H29" s="11"/>
      <c r="I29" s="5">
        <v>25</v>
      </c>
      <c r="J29" s="19">
        <v>4500</v>
      </c>
      <c r="K29" s="19">
        <v>0</v>
      </c>
      <c r="L29" s="1"/>
      <c r="M29" s="19" t="s">
        <v>182</v>
      </c>
      <c r="N29" s="19">
        <v>10200</v>
      </c>
      <c r="O29" s="1"/>
      <c r="P29" s="19" t="s">
        <v>141</v>
      </c>
      <c r="Q29" s="4">
        <f>Q27-Q28</f>
        <v>183670</v>
      </c>
    </row>
    <row r="30" spans="1:19" ht="12.75" x14ac:dyDescent="0.2">
      <c r="A30" s="5">
        <v>26</v>
      </c>
      <c r="B30" s="19">
        <v>810</v>
      </c>
      <c r="C30" s="19">
        <v>750</v>
      </c>
      <c r="D30" s="11"/>
      <c r="E30" s="5">
        <v>26</v>
      </c>
      <c r="F30" s="19">
        <v>53519</v>
      </c>
      <c r="G30" s="19">
        <v>22539</v>
      </c>
      <c r="H30" s="11"/>
      <c r="I30" s="5">
        <v>26</v>
      </c>
      <c r="J30" s="19">
        <v>6900</v>
      </c>
      <c r="K30" s="19">
        <v>0</v>
      </c>
      <c r="L30" s="1"/>
      <c r="M30" s="12" t="s">
        <v>36</v>
      </c>
      <c r="N30" s="13">
        <f>SUM(N19:N29)</f>
        <v>168919</v>
      </c>
      <c r="O30" s="1"/>
      <c r="P30" s="1"/>
      <c r="Q30" s="11"/>
    </row>
    <row r="31" spans="1:19" ht="12.75" x14ac:dyDescent="0.2">
      <c r="A31" s="5">
        <v>27</v>
      </c>
      <c r="B31" s="19">
        <v>1606</v>
      </c>
      <c r="C31" s="19">
        <v>220</v>
      </c>
      <c r="D31" s="11"/>
      <c r="E31" s="5">
        <v>27</v>
      </c>
      <c r="F31" s="19">
        <v>52426</v>
      </c>
      <c r="G31" s="19">
        <v>19596</v>
      </c>
      <c r="H31" s="11"/>
      <c r="I31" s="5">
        <v>27</v>
      </c>
      <c r="J31" s="19">
        <v>1200</v>
      </c>
      <c r="K31" s="19">
        <v>0</v>
      </c>
      <c r="L31" s="1"/>
      <c r="M31" s="1"/>
      <c r="N31" s="1"/>
      <c r="O31" s="1"/>
      <c r="P31" s="1"/>
      <c r="Q31" s="1"/>
    </row>
    <row r="32" spans="1:19" ht="12.75" x14ac:dyDescent="0.2">
      <c r="A32" s="5">
        <v>28</v>
      </c>
      <c r="B32" s="19">
        <v>0</v>
      </c>
      <c r="C32" s="19">
        <v>0</v>
      </c>
      <c r="D32" s="11"/>
      <c r="E32" s="5">
        <v>28</v>
      </c>
      <c r="F32" s="19">
        <v>29707</v>
      </c>
      <c r="G32" s="19">
        <v>28551</v>
      </c>
      <c r="H32" s="1"/>
      <c r="I32" s="5">
        <v>28</v>
      </c>
      <c r="J32" s="19">
        <v>24600</v>
      </c>
      <c r="K32" s="19">
        <v>0</v>
      </c>
      <c r="L32" s="1"/>
      <c r="M32" s="81" t="s">
        <v>53</v>
      </c>
      <c r="N32" s="79"/>
      <c r="O32" s="1"/>
      <c r="P32" s="1"/>
      <c r="Q32" s="1"/>
    </row>
    <row r="33" spans="1:17" ht="12.75" x14ac:dyDescent="0.2">
      <c r="A33" s="5">
        <v>29</v>
      </c>
      <c r="B33" s="19">
        <v>3340</v>
      </c>
      <c r="C33" s="19">
        <v>1917</v>
      </c>
      <c r="D33" s="11"/>
      <c r="E33" s="5">
        <v>29</v>
      </c>
      <c r="F33" s="19">
        <v>26725</v>
      </c>
      <c r="G33" s="19">
        <v>13514</v>
      </c>
      <c r="H33" s="1"/>
      <c r="I33" s="5">
        <v>29</v>
      </c>
      <c r="J33" s="19">
        <v>3300</v>
      </c>
      <c r="K33" s="19">
        <v>0</v>
      </c>
      <c r="L33" s="1"/>
      <c r="M33" s="2" t="s">
        <v>39</v>
      </c>
      <c r="N33" s="3" t="s">
        <v>6</v>
      </c>
      <c r="O33" s="1"/>
      <c r="P33" s="1"/>
      <c r="Q33" s="1"/>
    </row>
    <row r="34" spans="1:17" ht="12.75" x14ac:dyDescent="0.2">
      <c r="A34" s="5">
        <v>30</v>
      </c>
      <c r="B34" s="19">
        <v>4502</v>
      </c>
      <c r="C34" s="19">
        <v>3692</v>
      </c>
      <c r="D34" s="11"/>
      <c r="E34" s="5">
        <v>30</v>
      </c>
      <c r="F34" s="19">
        <v>43524</v>
      </c>
      <c r="G34" s="19">
        <v>27938</v>
      </c>
      <c r="H34" s="1"/>
      <c r="I34" s="5">
        <v>30</v>
      </c>
      <c r="J34" s="19">
        <v>37400</v>
      </c>
      <c r="K34" s="19">
        <v>0</v>
      </c>
      <c r="L34" s="11"/>
      <c r="M34" s="19" t="s">
        <v>157</v>
      </c>
      <c r="N34" s="19">
        <v>14000</v>
      </c>
      <c r="O34" s="11">
        <v>5000</v>
      </c>
      <c r="P34" s="1"/>
      <c r="Q34" s="1"/>
    </row>
    <row r="35" spans="1:17" ht="12.75" x14ac:dyDescent="0.2">
      <c r="A35" s="12" t="s">
        <v>36</v>
      </c>
      <c r="B35" s="13">
        <f t="shared" ref="B35:C35" si="0">SUM(B5:B34)+B37</f>
        <v>78704</v>
      </c>
      <c r="C35" s="13">
        <f t="shared" si="0"/>
        <v>40702</v>
      </c>
      <c r="D35" s="1"/>
      <c r="E35" s="12" t="s">
        <v>36</v>
      </c>
      <c r="F35" s="13">
        <f t="shared" ref="F35:G35" si="1">SUM(F5:F34)+F37</f>
        <v>1315358</v>
      </c>
      <c r="G35" s="13">
        <f t="shared" si="1"/>
        <v>701786</v>
      </c>
      <c r="H35" s="1"/>
      <c r="I35" s="12" t="s">
        <v>36</v>
      </c>
      <c r="J35" s="13">
        <f t="shared" ref="J35:K35" si="2">SUM(J5:J34)+J37</f>
        <v>266400</v>
      </c>
      <c r="K35" s="13">
        <f t="shared" si="2"/>
        <v>0</v>
      </c>
      <c r="L35" s="11"/>
      <c r="M35" s="19" t="s">
        <v>102</v>
      </c>
      <c r="N35" s="19">
        <v>25000</v>
      </c>
      <c r="O35" s="11">
        <v>9000</v>
      </c>
      <c r="P35" s="1"/>
      <c r="Q35" s="1"/>
    </row>
    <row r="36" spans="1:17" ht="12.75" x14ac:dyDescent="0.2">
      <c r="A36" s="3" t="s">
        <v>56</v>
      </c>
      <c r="B36" s="82">
        <f>B35-C35</f>
        <v>38002</v>
      </c>
      <c r="C36" s="79"/>
      <c r="D36" s="1"/>
      <c r="E36" s="3" t="s">
        <v>56</v>
      </c>
      <c r="F36" s="82">
        <f>F35-G35</f>
        <v>613572</v>
      </c>
      <c r="G36" s="79"/>
      <c r="H36" s="1"/>
      <c r="I36" s="3" t="s">
        <v>56</v>
      </c>
      <c r="J36" s="82">
        <f>J35-K35</f>
        <v>266400</v>
      </c>
      <c r="K36" s="79"/>
      <c r="M36" s="19" t="s">
        <v>112</v>
      </c>
      <c r="N36" s="19">
        <v>13000</v>
      </c>
      <c r="O36" s="11">
        <v>4000</v>
      </c>
      <c r="P36" s="1"/>
      <c r="Q36" s="1"/>
    </row>
    <row r="37" spans="1:17" ht="12.75" x14ac:dyDescent="0.2">
      <c r="A37" s="5">
        <v>31</v>
      </c>
      <c r="B37" s="19">
        <v>3850</v>
      </c>
      <c r="C37" s="19">
        <v>2071</v>
      </c>
      <c r="D37" s="11"/>
      <c r="E37" s="5">
        <v>31</v>
      </c>
      <c r="F37" s="19">
        <v>34753</v>
      </c>
      <c r="G37" s="19">
        <v>18098</v>
      </c>
      <c r="H37" s="1"/>
      <c r="I37" s="5">
        <v>31</v>
      </c>
      <c r="J37" s="19">
        <v>0</v>
      </c>
      <c r="K37" s="19">
        <v>0</v>
      </c>
      <c r="L37" s="60"/>
      <c r="M37" s="19" t="s">
        <v>142</v>
      </c>
      <c r="N37" s="19">
        <v>14000</v>
      </c>
      <c r="O37" s="11">
        <v>5000</v>
      </c>
      <c r="P37" s="1"/>
      <c r="Q37" s="1"/>
    </row>
    <row r="38" spans="1:17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4" t="s">
        <v>144</v>
      </c>
      <c r="N38" s="54">
        <v>11000</v>
      </c>
      <c r="O38" s="11">
        <v>4000</v>
      </c>
      <c r="P38" s="1">
        <f>C47-C48-Z17-N26-N27</f>
        <v>857974</v>
      </c>
      <c r="Q38" s="1"/>
    </row>
    <row r="39" spans="1:17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1"/>
      <c r="M39" s="19" t="s">
        <v>162</v>
      </c>
      <c r="N39" s="19">
        <v>11000</v>
      </c>
      <c r="O39" s="11">
        <v>4000</v>
      </c>
      <c r="P39" s="1"/>
      <c r="Q39" s="1"/>
    </row>
    <row r="40" spans="1:1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1"/>
      <c r="M40" s="19" t="s">
        <v>149</v>
      </c>
      <c r="N40" s="19">
        <v>12000</v>
      </c>
      <c r="O40" s="11">
        <v>4000</v>
      </c>
      <c r="P40" s="1"/>
      <c r="Q40" s="1"/>
    </row>
    <row r="41" spans="1:17" ht="12.75" x14ac:dyDescent="0.2">
      <c r="A41" s="1"/>
      <c r="B41" s="1"/>
      <c r="C41" s="1"/>
      <c r="D41" s="1"/>
      <c r="E41" s="1"/>
      <c r="F41" s="1"/>
      <c r="G41" s="83" t="s">
        <v>130</v>
      </c>
      <c r="H41" s="79"/>
      <c r="I41" s="1"/>
      <c r="J41" s="1"/>
      <c r="K41" s="1"/>
      <c r="L41" s="11"/>
      <c r="M41" s="19" t="s">
        <v>184</v>
      </c>
      <c r="N41" s="19">
        <v>14000</v>
      </c>
      <c r="O41" s="11">
        <v>5000</v>
      </c>
      <c r="P41" s="1"/>
      <c r="Q41" s="1"/>
    </row>
    <row r="42" spans="1:17" ht="12.75" x14ac:dyDescent="0.2">
      <c r="A42" s="1"/>
      <c r="B42" s="1"/>
      <c r="C42" s="1"/>
      <c r="D42" s="1"/>
      <c r="E42" s="1"/>
      <c r="F42" s="1"/>
      <c r="G42" s="19" t="s">
        <v>106</v>
      </c>
      <c r="H42" s="19" t="s">
        <v>131</v>
      </c>
      <c r="I42" s="1"/>
      <c r="J42" s="1"/>
      <c r="K42" s="1"/>
      <c r="L42" s="11"/>
      <c r="M42" s="19" t="s">
        <v>33</v>
      </c>
      <c r="N42" s="19">
        <v>11000</v>
      </c>
      <c r="O42" s="11">
        <v>4000</v>
      </c>
      <c r="P42" s="1"/>
      <c r="Q42" s="1"/>
    </row>
    <row r="43" spans="1:17" ht="12.75" x14ac:dyDescent="0.2">
      <c r="A43" s="1"/>
      <c r="B43" s="1"/>
      <c r="C43" s="1"/>
      <c r="D43" s="1"/>
      <c r="E43" s="1"/>
      <c r="F43" s="1"/>
      <c r="G43" s="62"/>
      <c r="H43" s="19"/>
      <c r="I43" s="1"/>
      <c r="J43" s="1"/>
      <c r="K43" s="1"/>
      <c r="L43" s="11" t="s">
        <v>189</v>
      </c>
      <c r="M43" s="19" t="s">
        <v>190</v>
      </c>
      <c r="N43" s="19">
        <v>9600</v>
      </c>
      <c r="O43" s="11"/>
      <c r="P43" s="1"/>
      <c r="Q43" s="1"/>
    </row>
    <row r="44" spans="1:17" ht="12.75" x14ac:dyDescent="0.2">
      <c r="A44" s="1"/>
      <c r="B44" s="1"/>
      <c r="C44" s="1"/>
      <c r="D44" s="1"/>
      <c r="E44" s="1"/>
      <c r="F44" s="1"/>
      <c r="G44" s="62"/>
      <c r="H44" s="19"/>
      <c r="I44" s="1"/>
      <c r="J44" s="1"/>
      <c r="K44" s="1"/>
      <c r="L44" s="1"/>
      <c r="M44" s="19"/>
      <c r="N44" s="19"/>
      <c r="O44" s="11"/>
      <c r="P44" s="1"/>
      <c r="Q44" s="1"/>
    </row>
    <row r="45" spans="1:17" ht="12.75" x14ac:dyDescent="0.2">
      <c r="A45" s="1"/>
      <c r="B45" s="1"/>
      <c r="C45" s="1"/>
      <c r="D45" s="1"/>
      <c r="E45" s="1"/>
      <c r="F45" s="1"/>
      <c r="G45" s="62"/>
      <c r="H45" s="19"/>
      <c r="I45" s="1"/>
      <c r="J45" s="1"/>
      <c r="K45" s="1"/>
      <c r="L45" s="1"/>
      <c r="M45" s="4"/>
      <c r="N45" s="4"/>
      <c r="O45" s="1">
        <f>SUM(O4:O44)</f>
        <v>93000</v>
      </c>
      <c r="P45" s="1"/>
      <c r="Q45" s="1"/>
    </row>
    <row r="46" spans="1:17" ht="12.75" x14ac:dyDescent="0.2">
      <c r="A46" s="1"/>
      <c r="B46" s="1"/>
      <c r="C46" s="1"/>
      <c r="D46" s="1"/>
      <c r="E46" s="1"/>
      <c r="F46" s="1"/>
      <c r="G46" s="62"/>
      <c r="H46" s="19"/>
      <c r="I46" s="1"/>
      <c r="J46" s="1"/>
      <c r="K46" s="1"/>
      <c r="L46" s="1"/>
      <c r="M46" s="4"/>
      <c r="N46" s="4"/>
      <c r="O46" s="1"/>
      <c r="P46" s="1"/>
      <c r="Q46" s="1"/>
    </row>
    <row r="47" spans="1:17" ht="12.75" x14ac:dyDescent="0.2">
      <c r="A47" s="1"/>
      <c r="B47" s="1"/>
      <c r="C47" s="1">
        <f>(B35+F35+J35)</f>
        <v>1660462</v>
      </c>
      <c r="D47" s="1"/>
      <c r="E47" s="1"/>
      <c r="F47" s="1"/>
      <c r="G47" s="62"/>
      <c r="H47" s="19"/>
      <c r="I47" s="1"/>
      <c r="J47" s="1"/>
      <c r="K47" s="1"/>
      <c r="L47" s="1"/>
      <c r="M47" s="4"/>
      <c r="N47" s="4"/>
      <c r="O47" s="1"/>
      <c r="P47" s="1"/>
      <c r="Q47" s="1"/>
    </row>
    <row r="48" spans="1:17" ht="12.75" x14ac:dyDescent="0.2">
      <c r="A48" s="1"/>
      <c r="B48" s="1"/>
      <c r="C48" s="42">
        <f>C35+G35</f>
        <v>742488</v>
      </c>
      <c r="D48" s="1"/>
      <c r="E48" s="1"/>
      <c r="F48" s="1"/>
      <c r="G48" s="62"/>
      <c r="H48" s="19"/>
      <c r="I48" s="1"/>
      <c r="J48" s="1"/>
      <c r="K48" s="1"/>
      <c r="L48" s="1"/>
      <c r="M48" s="4"/>
      <c r="N48" s="4"/>
      <c r="O48" s="1"/>
      <c r="P48" s="11">
        <v>105100</v>
      </c>
      <c r="Q48" s="1"/>
    </row>
    <row r="49" spans="1:17" ht="12.75" x14ac:dyDescent="0.2">
      <c r="A49" s="1"/>
      <c r="B49" s="1"/>
      <c r="C49" s="1">
        <f>C48/C47</f>
        <v>0.44715747785857191</v>
      </c>
      <c r="D49" s="1"/>
      <c r="E49" s="1"/>
      <c r="F49" s="1"/>
      <c r="G49" s="62"/>
      <c r="H49" s="19"/>
      <c r="I49" s="1"/>
      <c r="J49" s="1"/>
      <c r="K49" s="1"/>
      <c r="L49" s="1"/>
      <c r="M49" s="4"/>
      <c r="N49" s="4"/>
      <c r="O49" s="1"/>
      <c r="P49" s="1"/>
      <c r="Q49" s="1"/>
    </row>
    <row r="50" spans="1:17" ht="12.75" x14ac:dyDescent="0.2">
      <c r="A50" s="1"/>
      <c r="B50" s="1"/>
      <c r="C50" s="1"/>
      <c r="D50" s="1"/>
      <c r="E50" s="1"/>
      <c r="F50" s="1"/>
      <c r="G50" s="21"/>
      <c r="H50" s="19"/>
      <c r="I50" s="1"/>
      <c r="J50" s="1"/>
      <c r="K50" s="1"/>
      <c r="L50" s="1"/>
      <c r="M50" s="4"/>
      <c r="N50" s="4"/>
      <c r="O50" s="1"/>
      <c r="P50" s="1"/>
      <c r="Q50" s="1"/>
    </row>
    <row r="51" spans="1:17" ht="12.75" x14ac:dyDescent="0.2">
      <c r="A51" s="1"/>
      <c r="B51" s="1"/>
      <c r="C51" s="1"/>
      <c r="D51" s="1"/>
      <c r="E51" s="1"/>
      <c r="F51" s="1"/>
      <c r="G51" s="4"/>
      <c r="H51" s="4"/>
      <c r="I51" s="1"/>
      <c r="J51" s="1"/>
      <c r="K51" s="1"/>
      <c r="L51" s="1"/>
      <c r="M51" s="4"/>
      <c r="N51" s="4"/>
      <c r="O51" s="1"/>
      <c r="P51" s="1"/>
      <c r="Q51" s="1"/>
    </row>
    <row r="52" spans="1:1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4"/>
      <c r="O52" s="1"/>
      <c r="P52" s="1"/>
      <c r="Q52" s="1"/>
    </row>
    <row r="53" spans="1:1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4"/>
      <c r="O53" s="1"/>
      <c r="P53" s="1"/>
      <c r="Q53" s="1"/>
    </row>
    <row r="54" spans="1:1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4"/>
      <c r="O54" s="1"/>
      <c r="P54" s="1"/>
      <c r="Q54" s="1"/>
    </row>
    <row r="55" spans="1:1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 t="s">
        <v>36</v>
      </c>
      <c r="N55" s="5">
        <f>SUM(N34:N54)</f>
        <v>134600</v>
      </c>
      <c r="O55" s="1"/>
      <c r="P55" s="1"/>
      <c r="Q55" s="1"/>
    </row>
  </sheetData>
  <mergeCells count="12">
    <mergeCell ref="M17:N17"/>
    <mergeCell ref="P17:Q17"/>
    <mergeCell ref="A1:P1"/>
    <mergeCell ref="M2:N2"/>
    <mergeCell ref="A3:C3"/>
    <mergeCell ref="E3:G3"/>
    <mergeCell ref="I3:K3"/>
    <mergeCell ref="M32:N32"/>
    <mergeCell ref="B36:C36"/>
    <mergeCell ref="F36:G36"/>
    <mergeCell ref="J36:K36"/>
    <mergeCell ref="G41:H41"/>
  </mergeCells>
  <hyperlinks>
    <hyperlink ref="M22" r:id="rId1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S55"/>
  <sheetViews>
    <sheetView workbookViewId="0">
      <selection activeCell="R13" sqref="R13"/>
    </sheetView>
  </sheetViews>
  <sheetFormatPr defaultColWidth="12.5703125" defaultRowHeight="15.75" customHeight="1" x14ac:dyDescent="0.2"/>
  <cols>
    <col min="1" max="1" width="5.28515625" customWidth="1"/>
    <col min="2" max="2" width="6.42578125" customWidth="1"/>
    <col min="3" max="3" width="6.5703125" customWidth="1"/>
    <col min="4" max="4" width="5.85546875" customWidth="1"/>
    <col min="5" max="5" width="6.28515625" customWidth="1"/>
    <col min="6" max="6" width="6.42578125" customWidth="1"/>
    <col min="7" max="7" width="6.5703125" customWidth="1"/>
    <col min="8" max="8" width="4.5703125" customWidth="1"/>
    <col min="9" max="9" width="5.42578125" customWidth="1"/>
    <col min="10" max="10" width="6.42578125" customWidth="1"/>
    <col min="11" max="11" width="6.5703125" customWidth="1"/>
    <col min="12" max="12" width="5.85546875" customWidth="1"/>
    <col min="13" max="13" width="12.5703125" customWidth="1"/>
    <col min="14" max="14" width="6.7109375" customWidth="1"/>
    <col min="15" max="15" width="5.5703125" customWidth="1"/>
    <col min="16" max="16" width="11.42578125" customWidth="1"/>
    <col min="17" max="17" width="7.140625" customWidth="1"/>
  </cols>
  <sheetData>
    <row r="1" spans="1:17" ht="12.75" x14ac:dyDescent="0.2">
      <c r="A1" s="80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79"/>
      <c r="Q1" s="1"/>
    </row>
    <row r="2" spans="1:17" ht="12.7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5" t="s">
        <v>1</v>
      </c>
      <c r="N2" s="79"/>
      <c r="O2" s="1"/>
      <c r="P2" s="1"/>
      <c r="Q2" s="1"/>
    </row>
    <row r="3" spans="1:17" ht="12.75" x14ac:dyDescent="0.2">
      <c r="A3" s="86" t="s">
        <v>2</v>
      </c>
      <c r="B3" s="84"/>
      <c r="C3" s="79"/>
      <c r="D3" s="1"/>
      <c r="E3" s="87" t="s">
        <v>3</v>
      </c>
      <c r="F3" s="84"/>
      <c r="G3" s="79"/>
      <c r="H3" s="1"/>
      <c r="I3" s="88" t="s">
        <v>4</v>
      </c>
      <c r="J3" s="84"/>
      <c r="K3" s="79"/>
      <c r="L3" s="1"/>
      <c r="M3" s="2" t="s">
        <v>5</v>
      </c>
      <c r="N3" s="3" t="s">
        <v>6</v>
      </c>
      <c r="O3" s="1"/>
      <c r="P3" s="1"/>
      <c r="Q3" s="1"/>
    </row>
    <row r="4" spans="1:17" ht="12.75" x14ac:dyDescent="0.2">
      <c r="A4" s="4" t="s">
        <v>7</v>
      </c>
      <c r="B4" s="4" t="s">
        <v>8</v>
      </c>
      <c r="C4" s="4" t="s">
        <v>9</v>
      </c>
      <c r="D4" s="1"/>
      <c r="E4" s="4" t="s">
        <v>7</v>
      </c>
      <c r="F4" s="4" t="s">
        <v>8</v>
      </c>
      <c r="G4" s="4" t="s">
        <v>9</v>
      </c>
      <c r="H4" s="1"/>
      <c r="I4" s="4" t="s">
        <v>7</v>
      </c>
      <c r="J4" s="4" t="s">
        <v>8</v>
      </c>
      <c r="K4" s="4" t="s">
        <v>9</v>
      </c>
      <c r="L4" s="1"/>
      <c r="M4" s="16" t="s">
        <v>69</v>
      </c>
      <c r="N4" s="16">
        <v>20000</v>
      </c>
      <c r="O4" s="11">
        <v>7000</v>
      </c>
      <c r="P4" s="1"/>
      <c r="Q4" s="1"/>
    </row>
    <row r="5" spans="1:17" ht="12.75" x14ac:dyDescent="0.2">
      <c r="A5" s="5">
        <v>1</v>
      </c>
      <c r="B5" s="20">
        <v>2565</v>
      </c>
      <c r="C5" s="20">
        <v>2503</v>
      </c>
      <c r="D5" s="11"/>
      <c r="E5" s="5">
        <v>1</v>
      </c>
      <c r="F5" s="20">
        <v>35068</v>
      </c>
      <c r="G5" s="20">
        <v>21238</v>
      </c>
      <c r="H5" s="7"/>
      <c r="I5" s="5">
        <v>1</v>
      </c>
      <c r="J5" s="20">
        <v>1300</v>
      </c>
      <c r="K5" s="20">
        <v>0</v>
      </c>
      <c r="L5" s="1"/>
      <c r="M5" s="4" t="s">
        <v>12</v>
      </c>
      <c r="N5" s="20">
        <v>20000</v>
      </c>
      <c r="O5" s="11">
        <v>7000</v>
      </c>
      <c r="P5" s="1"/>
      <c r="Q5" s="1"/>
    </row>
    <row r="6" spans="1:17" ht="12.75" x14ac:dyDescent="0.2">
      <c r="A6" s="5">
        <v>2</v>
      </c>
      <c r="B6" s="20">
        <v>3640</v>
      </c>
      <c r="C6" s="20">
        <v>1151</v>
      </c>
      <c r="D6" s="29"/>
      <c r="E6" s="5">
        <v>2</v>
      </c>
      <c r="F6" s="20">
        <v>42177</v>
      </c>
      <c r="G6" s="20">
        <v>23826</v>
      </c>
      <c r="H6" s="7"/>
      <c r="I6" s="5">
        <v>2</v>
      </c>
      <c r="J6" s="20">
        <v>2800</v>
      </c>
      <c r="K6" s="20">
        <v>0</v>
      </c>
      <c r="L6" s="11"/>
      <c r="M6" s="4" t="s">
        <v>15</v>
      </c>
      <c r="N6" s="20">
        <v>18000</v>
      </c>
      <c r="O6" s="11">
        <v>6000</v>
      </c>
      <c r="P6" s="1"/>
      <c r="Q6" s="1"/>
    </row>
    <row r="7" spans="1:17" ht="12.75" x14ac:dyDescent="0.2">
      <c r="A7" s="5">
        <v>3</v>
      </c>
      <c r="B7" s="20">
        <v>1502</v>
      </c>
      <c r="C7" s="20">
        <v>1333</v>
      </c>
      <c r="D7" s="7"/>
      <c r="E7" s="5">
        <v>3</v>
      </c>
      <c r="F7" s="20">
        <v>63251</v>
      </c>
      <c r="G7" s="20">
        <v>28371</v>
      </c>
      <c r="H7" s="7"/>
      <c r="I7" s="5">
        <v>3</v>
      </c>
      <c r="J7" s="20">
        <v>4300</v>
      </c>
      <c r="K7" s="20">
        <v>0</v>
      </c>
      <c r="L7" s="11"/>
      <c r="M7" s="4"/>
      <c r="N7" s="20"/>
      <c r="O7" s="11"/>
      <c r="P7" s="1"/>
      <c r="Q7" s="1"/>
    </row>
    <row r="8" spans="1:17" ht="12.75" x14ac:dyDescent="0.2">
      <c r="A8" s="5">
        <v>4</v>
      </c>
      <c r="B8" s="16">
        <v>0</v>
      </c>
      <c r="C8" s="16">
        <v>0</v>
      </c>
      <c r="D8" s="11"/>
      <c r="E8" s="5">
        <v>4</v>
      </c>
      <c r="F8" s="19">
        <v>46490</v>
      </c>
      <c r="G8" s="19">
        <v>32201</v>
      </c>
      <c r="H8" s="11"/>
      <c r="I8" s="5">
        <v>4</v>
      </c>
      <c r="J8" s="19">
        <v>13000</v>
      </c>
      <c r="K8" s="19">
        <v>0</v>
      </c>
      <c r="L8" s="1"/>
      <c r="M8" s="4" t="s">
        <v>22</v>
      </c>
      <c r="N8" s="20">
        <v>17000</v>
      </c>
      <c r="O8" s="11">
        <v>6000</v>
      </c>
      <c r="P8" s="1"/>
      <c r="Q8" s="1"/>
    </row>
    <row r="9" spans="1:17" ht="12.75" x14ac:dyDescent="0.2">
      <c r="A9" s="5">
        <v>5</v>
      </c>
      <c r="B9" s="19">
        <v>3445</v>
      </c>
      <c r="C9" s="19">
        <v>778</v>
      </c>
      <c r="D9" s="11"/>
      <c r="E9" s="5">
        <v>5</v>
      </c>
      <c r="F9" s="19">
        <v>48082</v>
      </c>
      <c r="G9" s="19">
        <v>24926</v>
      </c>
      <c r="H9" s="11"/>
      <c r="I9" s="5">
        <v>5</v>
      </c>
      <c r="J9" s="19">
        <v>3300</v>
      </c>
      <c r="K9" s="19">
        <v>0</v>
      </c>
      <c r="L9" s="1"/>
      <c r="M9" s="4"/>
      <c r="N9" s="20"/>
      <c r="O9" s="11"/>
      <c r="P9" s="1"/>
      <c r="Q9" s="1"/>
    </row>
    <row r="10" spans="1:17" ht="12.75" x14ac:dyDescent="0.2">
      <c r="A10" s="5">
        <v>6</v>
      </c>
      <c r="B10" s="19">
        <v>1736</v>
      </c>
      <c r="C10" s="19">
        <v>830</v>
      </c>
      <c r="D10" s="11"/>
      <c r="E10" s="5">
        <v>6</v>
      </c>
      <c r="F10" s="19">
        <v>52475</v>
      </c>
      <c r="G10" s="19">
        <v>28181</v>
      </c>
      <c r="H10" s="11"/>
      <c r="I10" s="5">
        <v>6</v>
      </c>
      <c r="J10" s="19">
        <v>5300</v>
      </c>
      <c r="K10" s="19">
        <v>0</v>
      </c>
      <c r="L10" s="11"/>
      <c r="M10" s="19"/>
      <c r="N10" s="20"/>
      <c r="O10" s="11"/>
      <c r="P10" s="1"/>
      <c r="Q10" s="1"/>
    </row>
    <row r="11" spans="1:17" ht="12.75" x14ac:dyDescent="0.2">
      <c r="A11" s="5">
        <v>7</v>
      </c>
      <c r="B11" s="19">
        <v>1750</v>
      </c>
      <c r="C11" s="19">
        <v>1300</v>
      </c>
      <c r="D11" s="11"/>
      <c r="E11" s="5">
        <v>7</v>
      </c>
      <c r="F11" s="19">
        <v>38645</v>
      </c>
      <c r="G11" s="19">
        <v>17909</v>
      </c>
      <c r="H11" s="11"/>
      <c r="I11" s="5">
        <v>7</v>
      </c>
      <c r="J11" s="19">
        <v>0</v>
      </c>
      <c r="K11" s="19">
        <v>0</v>
      </c>
      <c r="L11" s="11"/>
      <c r="M11" s="19" t="s">
        <v>29</v>
      </c>
      <c r="N11" s="20">
        <v>20700</v>
      </c>
      <c r="O11" s="40">
        <v>7000</v>
      </c>
      <c r="P11" s="1"/>
      <c r="Q11" s="1"/>
    </row>
    <row r="12" spans="1:17" ht="12.75" x14ac:dyDescent="0.2">
      <c r="A12" s="5">
        <v>8</v>
      </c>
      <c r="B12" s="19">
        <v>2970</v>
      </c>
      <c r="C12" s="19">
        <v>2914</v>
      </c>
      <c r="D12" s="11"/>
      <c r="E12" s="5">
        <v>8</v>
      </c>
      <c r="F12" s="19">
        <v>45585</v>
      </c>
      <c r="G12" s="19">
        <v>30295</v>
      </c>
      <c r="H12" s="11"/>
      <c r="I12" s="5">
        <v>8</v>
      </c>
      <c r="J12" s="19">
        <v>8900</v>
      </c>
      <c r="K12" s="19">
        <v>0</v>
      </c>
      <c r="L12" s="11"/>
      <c r="M12" s="19" t="s">
        <v>74</v>
      </c>
      <c r="N12" s="20">
        <v>15000</v>
      </c>
      <c r="O12" s="11">
        <v>5000</v>
      </c>
      <c r="P12" s="1"/>
      <c r="Q12" s="1"/>
    </row>
    <row r="13" spans="1:17" ht="12.75" x14ac:dyDescent="0.2">
      <c r="A13" s="5">
        <v>9</v>
      </c>
      <c r="B13" s="19">
        <v>2910</v>
      </c>
      <c r="C13" s="19">
        <v>1110</v>
      </c>
      <c r="D13" s="11"/>
      <c r="E13" s="5">
        <v>9</v>
      </c>
      <c r="F13" s="19">
        <v>55107</v>
      </c>
      <c r="G13" s="19">
        <v>13626</v>
      </c>
      <c r="H13" s="11"/>
      <c r="I13" s="5">
        <v>9</v>
      </c>
      <c r="J13" s="19">
        <v>16900</v>
      </c>
      <c r="K13" s="19">
        <v>0</v>
      </c>
      <c r="L13" s="11"/>
      <c r="M13" s="19" t="s">
        <v>87</v>
      </c>
      <c r="N13" s="19">
        <v>15200</v>
      </c>
      <c r="O13" s="11">
        <v>5000</v>
      </c>
      <c r="P13" s="1"/>
      <c r="Q13" s="1"/>
    </row>
    <row r="14" spans="1:17" ht="12.75" x14ac:dyDescent="0.2">
      <c r="A14" s="5">
        <v>10</v>
      </c>
      <c r="B14" s="19">
        <v>2692</v>
      </c>
      <c r="C14" s="19">
        <v>1892</v>
      </c>
      <c r="D14" s="11"/>
      <c r="E14" s="5">
        <v>10</v>
      </c>
      <c r="F14" s="19">
        <v>69200</v>
      </c>
      <c r="G14" s="19">
        <v>32752</v>
      </c>
      <c r="H14" s="11"/>
      <c r="I14" s="5">
        <v>10</v>
      </c>
      <c r="J14" s="19">
        <v>2900</v>
      </c>
      <c r="K14" s="19">
        <v>0</v>
      </c>
      <c r="L14" s="1"/>
      <c r="M14" s="19" t="s">
        <v>134</v>
      </c>
      <c r="N14" s="19">
        <v>17000</v>
      </c>
      <c r="O14" s="11">
        <v>6000</v>
      </c>
      <c r="P14" s="1"/>
      <c r="Q14" s="1"/>
    </row>
    <row r="15" spans="1:17" ht="12.75" x14ac:dyDescent="0.2">
      <c r="A15" s="5">
        <v>11</v>
      </c>
      <c r="B15" s="19">
        <v>0</v>
      </c>
      <c r="C15" s="19">
        <v>0</v>
      </c>
      <c r="D15" s="11"/>
      <c r="E15" s="5">
        <v>11</v>
      </c>
      <c r="F15" s="19">
        <v>28485</v>
      </c>
      <c r="G15" s="19">
        <v>27002</v>
      </c>
      <c r="H15" s="11"/>
      <c r="I15" s="5">
        <v>11</v>
      </c>
      <c r="J15" s="19">
        <v>12200</v>
      </c>
      <c r="K15" s="19">
        <v>0</v>
      </c>
      <c r="L15" s="1"/>
      <c r="M15" s="12" t="s">
        <v>79</v>
      </c>
      <c r="N15" s="13">
        <f>SUM(N4:N14)</f>
        <v>142900</v>
      </c>
      <c r="O15" s="1"/>
      <c r="P15" s="1"/>
      <c r="Q15" s="1"/>
    </row>
    <row r="16" spans="1:17" ht="12.75" x14ac:dyDescent="0.2">
      <c r="A16" s="5">
        <v>12</v>
      </c>
      <c r="B16" s="19">
        <v>1820</v>
      </c>
      <c r="C16" s="19">
        <v>1680</v>
      </c>
      <c r="D16" s="11"/>
      <c r="E16" s="5">
        <v>12</v>
      </c>
      <c r="F16" s="19">
        <v>28972</v>
      </c>
      <c r="G16" s="19">
        <v>34691</v>
      </c>
      <c r="H16" s="11"/>
      <c r="I16" s="5">
        <v>12</v>
      </c>
      <c r="J16" s="19">
        <v>25300</v>
      </c>
      <c r="K16" s="19">
        <v>0</v>
      </c>
      <c r="L16" s="1"/>
      <c r="M16" s="25"/>
      <c r="N16" s="6"/>
      <c r="O16" s="1"/>
      <c r="P16" s="1"/>
      <c r="Q16" s="1"/>
    </row>
    <row r="17" spans="1:19" ht="12.75" x14ac:dyDescent="0.2">
      <c r="A17" s="5">
        <v>13</v>
      </c>
      <c r="B17" s="19">
        <v>3088</v>
      </c>
      <c r="C17" s="19">
        <v>150</v>
      </c>
      <c r="D17" s="11"/>
      <c r="E17" s="5">
        <v>13</v>
      </c>
      <c r="F17" s="19">
        <v>30470</v>
      </c>
      <c r="G17" s="19">
        <v>19972</v>
      </c>
      <c r="H17" s="11"/>
      <c r="I17" s="5">
        <v>13</v>
      </c>
      <c r="J17" s="19">
        <v>4500</v>
      </c>
      <c r="K17" s="19">
        <v>0</v>
      </c>
      <c r="L17" s="1"/>
      <c r="M17" s="78" t="s">
        <v>37</v>
      </c>
      <c r="N17" s="79"/>
      <c r="O17" s="1"/>
      <c r="P17" s="80" t="s">
        <v>38</v>
      </c>
      <c r="Q17" s="79"/>
    </row>
    <row r="18" spans="1:19" ht="12.75" x14ac:dyDescent="0.2">
      <c r="A18" s="5">
        <v>14</v>
      </c>
      <c r="B18" s="19">
        <v>4115</v>
      </c>
      <c r="C18" s="19">
        <v>2889</v>
      </c>
      <c r="D18" s="11"/>
      <c r="E18" s="5">
        <v>14</v>
      </c>
      <c r="F18" s="19">
        <v>48739</v>
      </c>
      <c r="G18" s="19">
        <v>24212</v>
      </c>
      <c r="H18" s="11"/>
      <c r="I18" s="5">
        <v>14</v>
      </c>
      <c r="J18" s="19">
        <v>7200</v>
      </c>
      <c r="K18" s="19">
        <v>0</v>
      </c>
      <c r="L18" s="1"/>
      <c r="M18" s="2" t="s">
        <v>39</v>
      </c>
      <c r="N18" s="3" t="s">
        <v>6</v>
      </c>
      <c r="O18" s="1"/>
      <c r="P18" s="2" t="s">
        <v>5</v>
      </c>
      <c r="Q18" s="3" t="s">
        <v>6</v>
      </c>
    </row>
    <row r="19" spans="1:19" ht="12.75" x14ac:dyDescent="0.2">
      <c r="A19" s="5">
        <v>15</v>
      </c>
      <c r="B19" s="19">
        <v>2954</v>
      </c>
      <c r="C19" s="19">
        <v>909</v>
      </c>
      <c r="D19" s="11"/>
      <c r="E19" s="5">
        <v>15</v>
      </c>
      <c r="F19" s="19">
        <v>35520</v>
      </c>
      <c r="G19" s="19">
        <v>24417</v>
      </c>
      <c r="H19" s="11"/>
      <c r="I19" s="5">
        <v>15</v>
      </c>
      <c r="J19" s="19">
        <v>19100</v>
      </c>
      <c r="K19" s="19">
        <v>0</v>
      </c>
      <c r="L19" s="1"/>
      <c r="M19" s="4" t="s">
        <v>41</v>
      </c>
      <c r="N19" s="20">
        <v>50000</v>
      </c>
      <c r="O19" s="1"/>
      <c r="P19" s="4" t="s">
        <v>42</v>
      </c>
      <c r="Q19" s="5">
        <f>B35+F35+J35</f>
        <v>1729796</v>
      </c>
      <c r="S19" s="42">
        <f>Q21/Q19</f>
        <v>0.28527525789168201</v>
      </c>
    </row>
    <row r="20" spans="1:19" ht="12.75" x14ac:dyDescent="0.2">
      <c r="A20" s="5">
        <v>16</v>
      </c>
      <c r="B20" s="19">
        <v>1066</v>
      </c>
      <c r="C20" s="19">
        <v>0</v>
      </c>
      <c r="D20" s="11"/>
      <c r="E20" s="5">
        <v>16</v>
      </c>
      <c r="F20" s="19">
        <v>49070</v>
      </c>
      <c r="G20" s="19">
        <v>20593</v>
      </c>
      <c r="H20" s="11"/>
      <c r="I20" s="5">
        <v>16</v>
      </c>
      <c r="J20" s="19">
        <v>5200</v>
      </c>
      <c r="K20" s="19">
        <v>0</v>
      </c>
      <c r="L20" s="11"/>
      <c r="M20" s="4" t="s">
        <v>43</v>
      </c>
      <c r="N20" s="19">
        <v>70346</v>
      </c>
      <c r="O20" s="1"/>
      <c r="P20" s="4" t="s">
        <v>44</v>
      </c>
      <c r="Q20" s="5">
        <f>C35+G35+K35+N15+N30+N55</f>
        <v>1236328</v>
      </c>
    </row>
    <row r="21" spans="1:19" ht="12.75" x14ac:dyDescent="0.2">
      <c r="A21" s="5">
        <v>17</v>
      </c>
      <c r="B21" s="19">
        <v>4765</v>
      </c>
      <c r="C21" s="19">
        <v>1193</v>
      </c>
      <c r="D21" s="11"/>
      <c r="E21" s="5">
        <v>17</v>
      </c>
      <c r="F21" s="19">
        <v>54364</v>
      </c>
      <c r="G21" s="19">
        <v>15071</v>
      </c>
      <c r="H21" s="11"/>
      <c r="I21" s="5">
        <v>17</v>
      </c>
      <c r="J21" s="19">
        <v>1400</v>
      </c>
      <c r="K21" s="19">
        <v>0</v>
      </c>
      <c r="L21" s="1"/>
      <c r="M21" s="31" t="s">
        <v>46</v>
      </c>
      <c r="N21" s="72">
        <v>3000</v>
      </c>
      <c r="O21" s="1"/>
      <c r="P21" s="26" t="s">
        <v>47</v>
      </c>
      <c r="Q21" s="27">
        <f>Q19-Q20</f>
        <v>493468</v>
      </c>
      <c r="R21" s="40">
        <v>337690</v>
      </c>
    </row>
    <row r="22" spans="1:19" ht="12.75" x14ac:dyDescent="0.2">
      <c r="A22" s="5">
        <v>18</v>
      </c>
      <c r="B22" s="19">
        <v>0</v>
      </c>
      <c r="C22" s="19">
        <v>0</v>
      </c>
      <c r="D22" s="11"/>
      <c r="E22" s="5">
        <v>18</v>
      </c>
      <c r="F22" s="19">
        <v>30635</v>
      </c>
      <c r="G22" s="19">
        <v>18635</v>
      </c>
      <c r="H22" s="11"/>
      <c r="I22" s="5">
        <v>18</v>
      </c>
      <c r="J22" s="19">
        <v>500</v>
      </c>
      <c r="K22" s="19">
        <v>0</v>
      </c>
      <c r="L22" s="1"/>
      <c r="M22" s="70" t="s">
        <v>166</v>
      </c>
      <c r="N22" s="19"/>
      <c r="O22" s="1"/>
      <c r="P22" s="4" t="s">
        <v>49</v>
      </c>
      <c r="Q22" s="20">
        <v>45000</v>
      </c>
    </row>
    <row r="23" spans="1:19" ht="12.75" x14ac:dyDescent="0.2">
      <c r="A23" s="5">
        <v>19</v>
      </c>
      <c r="B23" s="20">
        <v>3698</v>
      </c>
      <c r="C23" s="67">
        <v>730</v>
      </c>
      <c r="D23" s="11"/>
      <c r="E23" s="5">
        <v>19</v>
      </c>
      <c r="F23" s="19">
        <v>35583</v>
      </c>
      <c r="G23" s="19">
        <v>18377</v>
      </c>
      <c r="H23" s="11"/>
      <c r="I23" s="5">
        <v>19</v>
      </c>
      <c r="J23" s="19">
        <v>10200</v>
      </c>
      <c r="K23" s="19">
        <v>0</v>
      </c>
      <c r="L23" s="1"/>
      <c r="M23" s="31" t="s">
        <v>50</v>
      </c>
      <c r="N23" s="72">
        <v>2490</v>
      </c>
      <c r="O23" s="1"/>
      <c r="P23" s="11" t="s">
        <v>133</v>
      </c>
      <c r="Q23" s="1">
        <f>C35+G35+K35</f>
        <v>804492</v>
      </c>
    </row>
    <row r="24" spans="1:19" ht="12.75" x14ac:dyDescent="0.2">
      <c r="A24" s="5">
        <v>20</v>
      </c>
      <c r="B24" s="19">
        <v>2290</v>
      </c>
      <c r="C24" s="19">
        <v>1638</v>
      </c>
      <c r="D24" s="11"/>
      <c r="E24" s="5">
        <v>20</v>
      </c>
      <c r="F24" s="19">
        <v>47092</v>
      </c>
      <c r="G24" s="19">
        <v>26099</v>
      </c>
      <c r="H24" s="11"/>
      <c r="I24" s="5">
        <v>20</v>
      </c>
      <c r="J24" s="19">
        <v>19700</v>
      </c>
      <c r="K24" s="19">
        <v>0</v>
      </c>
      <c r="L24" s="1"/>
      <c r="M24" s="31" t="s">
        <v>51</v>
      </c>
      <c r="N24" s="72">
        <v>5000</v>
      </c>
      <c r="O24" s="1"/>
      <c r="P24" s="1"/>
      <c r="Q24" s="1"/>
    </row>
    <row r="25" spans="1:19" ht="12.75" x14ac:dyDescent="0.2">
      <c r="A25" s="5">
        <v>21</v>
      </c>
      <c r="B25" s="19">
        <v>1010</v>
      </c>
      <c r="C25" s="19">
        <v>460</v>
      </c>
      <c r="D25" s="11"/>
      <c r="E25" s="5">
        <v>21</v>
      </c>
      <c r="F25" s="19">
        <v>50001</v>
      </c>
      <c r="G25" s="19">
        <v>28864</v>
      </c>
      <c r="H25" s="11"/>
      <c r="I25" s="5">
        <v>21</v>
      </c>
      <c r="J25" s="19">
        <v>4000</v>
      </c>
      <c r="K25" s="19">
        <v>0</v>
      </c>
      <c r="L25" s="11"/>
      <c r="M25" s="71"/>
      <c r="N25" s="19"/>
      <c r="O25" s="1"/>
      <c r="P25" s="1"/>
      <c r="Q25" s="1"/>
    </row>
    <row r="26" spans="1:19" ht="12.75" x14ac:dyDescent="0.2">
      <c r="A26" s="5">
        <v>22</v>
      </c>
      <c r="B26" s="19">
        <v>1261</v>
      </c>
      <c r="C26" s="19">
        <v>618</v>
      </c>
      <c r="D26" s="11"/>
      <c r="E26" s="5">
        <v>22</v>
      </c>
      <c r="F26" s="19">
        <v>52210</v>
      </c>
      <c r="G26" s="19">
        <v>20370</v>
      </c>
      <c r="H26" s="11"/>
      <c r="I26" s="5">
        <v>22</v>
      </c>
      <c r="J26" s="19">
        <v>12000</v>
      </c>
      <c r="K26" s="19">
        <v>0</v>
      </c>
      <c r="L26" s="1"/>
      <c r="M26" s="19"/>
      <c r="N26" s="19"/>
      <c r="O26" s="1"/>
      <c r="P26" s="1"/>
      <c r="Q26" s="1"/>
    </row>
    <row r="27" spans="1:19" ht="15.75" customHeight="1" x14ac:dyDescent="0.4">
      <c r="A27" s="5">
        <v>23</v>
      </c>
      <c r="B27" s="19">
        <v>2442</v>
      </c>
      <c r="C27" s="19">
        <v>2257</v>
      </c>
      <c r="D27" s="11"/>
      <c r="E27" s="5">
        <v>23</v>
      </c>
      <c r="F27" s="19">
        <v>58535</v>
      </c>
      <c r="G27" s="19">
        <v>31102</v>
      </c>
      <c r="H27" s="11"/>
      <c r="I27" s="5">
        <v>23</v>
      </c>
      <c r="J27" s="19">
        <v>2800</v>
      </c>
      <c r="K27" s="19">
        <v>0</v>
      </c>
      <c r="L27" s="1"/>
      <c r="M27" s="19"/>
      <c r="N27" s="19"/>
      <c r="O27" s="1"/>
      <c r="P27" s="19" t="s">
        <v>139</v>
      </c>
      <c r="Q27" s="63">
        <f>(N15+N55)</f>
        <v>290800</v>
      </c>
    </row>
    <row r="28" spans="1:19" ht="15.75" customHeight="1" x14ac:dyDescent="0.4">
      <c r="A28" s="5">
        <v>24</v>
      </c>
      <c r="B28" s="19">
        <v>2100</v>
      </c>
      <c r="C28" s="19">
        <v>1334</v>
      </c>
      <c r="D28" s="11"/>
      <c r="E28" s="5">
        <v>24</v>
      </c>
      <c r="F28" s="19">
        <v>56780</v>
      </c>
      <c r="G28" s="19">
        <v>32633</v>
      </c>
      <c r="H28" s="11"/>
      <c r="I28" s="5">
        <v>24</v>
      </c>
      <c r="J28" s="19">
        <v>17600</v>
      </c>
      <c r="K28" s="19">
        <v>0</v>
      </c>
      <c r="L28" s="1"/>
      <c r="M28" s="19"/>
      <c r="N28" s="19"/>
      <c r="O28" s="1"/>
      <c r="P28" s="19" t="s">
        <v>140</v>
      </c>
      <c r="Q28" s="64">
        <f>O45</f>
        <v>93000</v>
      </c>
    </row>
    <row r="29" spans="1:19" ht="12.75" x14ac:dyDescent="0.2">
      <c r="A29" s="5">
        <v>25</v>
      </c>
      <c r="B29" s="19">
        <v>0</v>
      </c>
      <c r="C29" s="19">
        <v>0</v>
      </c>
      <c r="D29" s="11"/>
      <c r="E29" s="5">
        <v>25</v>
      </c>
      <c r="F29" s="19">
        <v>38984</v>
      </c>
      <c r="G29" s="19">
        <v>28755</v>
      </c>
      <c r="H29" s="11"/>
      <c r="I29" s="5">
        <v>25</v>
      </c>
      <c r="J29" s="19">
        <v>4600</v>
      </c>
      <c r="K29" s="19">
        <v>0</v>
      </c>
      <c r="L29" s="1"/>
      <c r="M29" s="19" t="s">
        <v>182</v>
      </c>
      <c r="N29" s="19">
        <v>10200</v>
      </c>
      <c r="O29" s="1"/>
      <c r="P29" s="19" t="s">
        <v>141</v>
      </c>
      <c r="Q29" s="4">
        <f>Q27-Q28</f>
        <v>197800</v>
      </c>
    </row>
    <row r="30" spans="1:19" ht="12.75" x14ac:dyDescent="0.2">
      <c r="A30" s="5">
        <v>26</v>
      </c>
      <c r="B30" s="19">
        <v>2112</v>
      </c>
      <c r="C30" s="19">
        <v>1330</v>
      </c>
      <c r="D30" s="11"/>
      <c r="E30" s="5">
        <v>26</v>
      </c>
      <c r="F30" s="19">
        <v>52630</v>
      </c>
      <c r="G30" s="19">
        <v>29496</v>
      </c>
      <c r="H30" s="11"/>
      <c r="I30" s="5">
        <v>26</v>
      </c>
      <c r="J30" s="19">
        <v>9400</v>
      </c>
      <c r="K30" s="19">
        <v>0</v>
      </c>
      <c r="L30" s="1"/>
      <c r="M30" s="12" t="s">
        <v>36</v>
      </c>
      <c r="N30" s="13">
        <f>SUM(N19:N29)</f>
        <v>141036</v>
      </c>
      <c r="O30" s="1"/>
      <c r="P30" s="1"/>
      <c r="Q30" s="11"/>
    </row>
    <row r="31" spans="1:19" ht="12.75" x14ac:dyDescent="0.2">
      <c r="A31" s="5">
        <v>27</v>
      </c>
      <c r="B31" s="19">
        <v>6887</v>
      </c>
      <c r="C31" s="19">
        <v>5456</v>
      </c>
      <c r="D31" s="11"/>
      <c r="E31" s="5">
        <v>27</v>
      </c>
      <c r="F31" s="19">
        <v>41435</v>
      </c>
      <c r="G31" s="19">
        <v>16212</v>
      </c>
      <c r="H31" s="11"/>
      <c r="I31" s="5">
        <v>27</v>
      </c>
      <c r="J31" s="19">
        <v>0</v>
      </c>
      <c r="K31" s="19">
        <v>0</v>
      </c>
      <c r="L31" s="1"/>
      <c r="M31" s="1"/>
      <c r="N31" s="1"/>
      <c r="O31" s="1"/>
      <c r="P31" s="1"/>
      <c r="Q31" s="1"/>
    </row>
    <row r="32" spans="1:19" ht="12.75" x14ac:dyDescent="0.2">
      <c r="A32" s="5">
        <v>28</v>
      </c>
      <c r="B32" s="19">
        <v>2488</v>
      </c>
      <c r="C32" s="19">
        <v>672</v>
      </c>
      <c r="D32" s="11"/>
      <c r="E32" s="5">
        <v>28</v>
      </c>
      <c r="F32" s="19">
        <v>48138</v>
      </c>
      <c r="G32" s="19">
        <v>17512</v>
      </c>
      <c r="H32" s="1"/>
      <c r="I32" s="5">
        <v>28</v>
      </c>
      <c r="J32" s="19">
        <v>5300</v>
      </c>
      <c r="K32" s="19">
        <v>0</v>
      </c>
      <c r="L32" s="1"/>
      <c r="M32" s="81" t="s">
        <v>53</v>
      </c>
      <c r="N32" s="79"/>
      <c r="O32" s="1"/>
      <c r="P32" s="1"/>
      <c r="Q32" s="1"/>
    </row>
    <row r="33" spans="1:17" ht="12.75" x14ac:dyDescent="0.2">
      <c r="A33" s="5">
        <v>29</v>
      </c>
      <c r="B33" s="19">
        <v>3371</v>
      </c>
      <c r="C33" s="19">
        <v>1980</v>
      </c>
      <c r="D33" s="11"/>
      <c r="E33" s="5">
        <v>29</v>
      </c>
      <c r="F33" s="19">
        <v>57900</v>
      </c>
      <c r="G33" s="19">
        <v>36328</v>
      </c>
      <c r="H33" s="1"/>
      <c r="I33" s="5">
        <v>29</v>
      </c>
      <c r="J33" s="19">
        <v>9300</v>
      </c>
      <c r="K33" s="19">
        <v>0</v>
      </c>
      <c r="L33" s="1"/>
      <c r="M33" s="2" t="s">
        <v>39</v>
      </c>
      <c r="N33" s="3" t="s">
        <v>6</v>
      </c>
      <c r="O33" s="1"/>
      <c r="P33" s="1"/>
      <c r="Q33" s="1"/>
    </row>
    <row r="34" spans="1:17" ht="12.75" x14ac:dyDescent="0.2">
      <c r="A34" s="5">
        <v>30</v>
      </c>
      <c r="B34" s="19">
        <v>7597</v>
      </c>
      <c r="C34" s="19">
        <v>6075</v>
      </c>
      <c r="D34" s="11"/>
      <c r="E34" s="5">
        <v>30</v>
      </c>
      <c r="F34" s="19">
        <v>74799</v>
      </c>
      <c r="G34" s="19">
        <v>37644</v>
      </c>
      <c r="H34" s="1"/>
      <c r="I34" s="5">
        <v>30</v>
      </c>
      <c r="J34" s="19">
        <v>8100</v>
      </c>
      <c r="K34" s="19">
        <v>0</v>
      </c>
      <c r="L34" s="11"/>
      <c r="M34" s="19" t="s">
        <v>157</v>
      </c>
      <c r="N34" s="19">
        <v>15000</v>
      </c>
      <c r="O34" s="11">
        <v>5000</v>
      </c>
      <c r="P34" s="1"/>
      <c r="Q34" s="1"/>
    </row>
    <row r="35" spans="1:17" ht="12.75" x14ac:dyDescent="0.2">
      <c r="A35" s="12" t="s">
        <v>36</v>
      </c>
      <c r="B35" s="13">
        <f t="shared" ref="B35:C35" si="0">SUM(B5:B34)+B37</f>
        <v>76274</v>
      </c>
      <c r="C35" s="13">
        <f t="shared" si="0"/>
        <v>43182</v>
      </c>
      <c r="D35" s="1"/>
      <c r="E35" s="12" t="s">
        <v>36</v>
      </c>
      <c r="F35" s="13">
        <f t="shared" ref="F35:G35" si="1">SUM(F5:F34)+F37</f>
        <v>1416422</v>
      </c>
      <c r="G35" s="13">
        <f t="shared" si="1"/>
        <v>761310</v>
      </c>
      <c r="H35" s="1"/>
      <c r="I35" s="12" t="s">
        <v>36</v>
      </c>
      <c r="J35" s="13">
        <f t="shared" ref="J35:K35" si="2">SUM(J5:J34)+J37</f>
        <v>237100</v>
      </c>
      <c r="K35" s="13">
        <f t="shared" si="2"/>
        <v>0</v>
      </c>
      <c r="L35" s="11"/>
      <c r="M35" s="19" t="s">
        <v>102</v>
      </c>
      <c r="N35" s="19">
        <v>25000</v>
      </c>
      <c r="O35" s="11">
        <v>9000</v>
      </c>
      <c r="P35" s="1"/>
      <c r="Q35" s="1"/>
    </row>
    <row r="36" spans="1:17" ht="12.75" x14ac:dyDescent="0.2">
      <c r="A36" s="3" t="s">
        <v>56</v>
      </c>
      <c r="B36" s="82">
        <f>B35-C35</f>
        <v>33092</v>
      </c>
      <c r="C36" s="79"/>
      <c r="D36" s="1"/>
      <c r="E36" s="3" t="s">
        <v>56</v>
      </c>
      <c r="F36" s="82">
        <f>F35-G35</f>
        <v>655112</v>
      </c>
      <c r="G36" s="79"/>
      <c r="H36" s="1"/>
      <c r="I36" s="3" t="s">
        <v>56</v>
      </c>
      <c r="J36" s="82">
        <f>J35-K35</f>
        <v>237100</v>
      </c>
      <c r="K36" s="79"/>
      <c r="M36" s="19" t="s">
        <v>112</v>
      </c>
      <c r="N36" s="19">
        <v>13000</v>
      </c>
      <c r="O36" s="11">
        <v>4000</v>
      </c>
      <c r="P36" s="1"/>
      <c r="Q36" s="1"/>
    </row>
    <row r="37" spans="1:17" ht="12.75" x14ac:dyDescent="0.2">
      <c r="A37" s="5">
        <v>31</v>
      </c>
      <c r="B37" s="19"/>
      <c r="C37" s="19"/>
      <c r="D37" s="11"/>
      <c r="E37" s="5">
        <v>31</v>
      </c>
      <c r="F37" s="19"/>
      <c r="G37" s="19"/>
      <c r="H37" s="1"/>
      <c r="I37" s="5">
        <v>31</v>
      </c>
      <c r="J37" s="19"/>
      <c r="K37" s="19"/>
      <c r="L37" s="60"/>
      <c r="M37" s="19" t="s">
        <v>142</v>
      </c>
      <c r="N37" s="19">
        <v>15000</v>
      </c>
      <c r="O37" s="11">
        <v>5000</v>
      </c>
      <c r="P37" s="1"/>
      <c r="Q37" s="1"/>
    </row>
    <row r="38" spans="1:17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4" t="s">
        <v>144</v>
      </c>
      <c r="N38" s="54">
        <v>12000</v>
      </c>
      <c r="O38" s="11">
        <v>4000</v>
      </c>
      <c r="P38" s="1">
        <f>C47-C48-Z17-N26-N27</f>
        <v>925304</v>
      </c>
      <c r="Q38" s="1"/>
    </row>
    <row r="39" spans="1:17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1"/>
      <c r="M39" s="19" t="s">
        <v>162</v>
      </c>
      <c r="N39" s="19">
        <v>11000</v>
      </c>
      <c r="O39" s="11">
        <v>4000</v>
      </c>
      <c r="P39" s="1"/>
      <c r="Q39" s="1"/>
    </row>
    <row r="40" spans="1:1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1"/>
      <c r="M40" s="19" t="s">
        <v>149</v>
      </c>
      <c r="N40" s="19">
        <v>12000</v>
      </c>
      <c r="O40" s="11">
        <v>4000</v>
      </c>
      <c r="P40" s="1"/>
      <c r="Q40" s="1"/>
    </row>
    <row r="41" spans="1:17" ht="12.75" x14ac:dyDescent="0.2">
      <c r="A41" s="1"/>
      <c r="B41" s="1"/>
      <c r="C41" s="1"/>
      <c r="D41" s="1"/>
      <c r="E41" s="1"/>
      <c r="F41" s="1"/>
      <c r="G41" s="83" t="s">
        <v>130</v>
      </c>
      <c r="H41" s="79"/>
      <c r="I41" s="1"/>
      <c r="J41" s="1"/>
      <c r="K41" s="1"/>
      <c r="L41" s="11"/>
      <c r="M41" s="19" t="s">
        <v>184</v>
      </c>
      <c r="N41" s="19">
        <v>14000</v>
      </c>
      <c r="O41" s="11">
        <v>5000</v>
      </c>
      <c r="P41" s="1"/>
      <c r="Q41" s="1"/>
    </row>
    <row r="42" spans="1:17" ht="12.75" x14ac:dyDescent="0.2">
      <c r="A42" s="1"/>
      <c r="B42" s="1"/>
      <c r="C42" s="1"/>
      <c r="D42" s="1"/>
      <c r="E42" s="1"/>
      <c r="F42" s="1"/>
      <c r="G42" s="19" t="s">
        <v>106</v>
      </c>
      <c r="H42" s="19" t="s">
        <v>131</v>
      </c>
      <c r="I42" s="1"/>
      <c r="J42" s="1"/>
      <c r="K42" s="1"/>
      <c r="L42" s="11"/>
      <c r="M42" s="19" t="s">
        <v>33</v>
      </c>
      <c r="N42" s="19">
        <v>1900</v>
      </c>
      <c r="O42" s="11"/>
      <c r="P42" s="1"/>
      <c r="Q42" s="1"/>
    </row>
    <row r="43" spans="1:17" ht="12.75" x14ac:dyDescent="0.2">
      <c r="A43" s="1"/>
      <c r="B43" s="1"/>
      <c r="C43" s="1"/>
      <c r="D43" s="1"/>
      <c r="E43" s="1"/>
      <c r="F43" s="1"/>
      <c r="G43" s="62"/>
      <c r="H43" s="19"/>
      <c r="I43" s="1"/>
      <c r="J43" s="1"/>
      <c r="K43" s="1"/>
      <c r="L43" s="11"/>
      <c r="M43" s="19" t="s">
        <v>190</v>
      </c>
      <c r="N43" s="19">
        <v>13000</v>
      </c>
      <c r="O43" s="11">
        <v>4000</v>
      </c>
      <c r="P43" s="1"/>
      <c r="Q43" s="1"/>
    </row>
    <row r="44" spans="1:17" ht="12.75" x14ac:dyDescent="0.2">
      <c r="A44" s="1"/>
      <c r="B44" s="1"/>
      <c r="C44" s="1"/>
      <c r="D44" s="1"/>
      <c r="E44" s="1"/>
      <c r="F44" s="1"/>
      <c r="G44" s="62"/>
      <c r="H44" s="19"/>
      <c r="I44" s="1"/>
      <c r="J44" s="1"/>
      <c r="K44" s="1"/>
      <c r="L44" s="1"/>
      <c r="M44" s="19" t="s">
        <v>191</v>
      </c>
      <c r="N44" s="19">
        <v>10000</v>
      </c>
      <c r="O44" s="11"/>
      <c r="P44" s="1"/>
      <c r="Q44" s="1"/>
    </row>
    <row r="45" spans="1:17" ht="12.75" x14ac:dyDescent="0.2">
      <c r="A45" s="1"/>
      <c r="B45" s="1"/>
      <c r="C45" s="1"/>
      <c r="D45" s="1"/>
      <c r="E45" s="1"/>
      <c r="F45" s="1"/>
      <c r="G45" s="62"/>
      <c r="H45" s="19"/>
      <c r="I45" s="1"/>
      <c r="J45" s="1"/>
      <c r="K45" s="1"/>
      <c r="L45" s="1"/>
      <c r="M45" s="19" t="s">
        <v>192</v>
      </c>
      <c r="N45" s="19">
        <v>6000</v>
      </c>
      <c r="O45" s="1">
        <f>SUM(O4:O44)</f>
        <v>93000</v>
      </c>
      <c r="P45" s="1"/>
      <c r="Q45" s="1"/>
    </row>
    <row r="46" spans="1:17" ht="12.75" x14ac:dyDescent="0.2">
      <c r="A46" s="1"/>
      <c r="B46" s="1"/>
      <c r="C46" s="1"/>
      <c r="D46" s="1"/>
      <c r="E46" s="1"/>
      <c r="F46" s="1"/>
      <c r="G46" s="62"/>
      <c r="H46" s="19"/>
      <c r="I46" s="1"/>
      <c r="J46" s="1"/>
      <c r="K46" s="1"/>
      <c r="L46" s="1"/>
      <c r="M46" s="4"/>
      <c r="N46" s="4"/>
      <c r="O46" s="1"/>
      <c r="P46" s="1"/>
      <c r="Q46" s="1"/>
    </row>
    <row r="47" spans="1:17" ht="12.75" x14ac:dyDescent="0.2">
      <c r="A47" s="1"/>
      <c r="B47" s="1"/>
      <c r="C47" s="1">
        <f>(B35+F35+J35)</f>
        <v>1729796</v>
      </c>
      <c r="D47" s="1"/>
      <c r="E47" s="1"/>
      <c r="F47" s="1"/>
      <c r="G47" s="62"/>
      <c r="H47" s="19"/>
      <c r="I47" s="1"/>
      <c r="J47" s="1"/>
      <c r="K47" s="1"/>
      <c r="L47" s="1"/>
      <c r="M47" s="4"/>
      <c r="N47" s="4"/>
      <c r="O47" s="1"/>
      <c r="P47" s="1"/>
      <c r="Q47" s="1"/>
    </row>
    <row r="48" spans="1:17" ht="12.75" x14ac:dyDescent="0.2">
      <c r="A48" s="1"/>
      <c r="B48" s="1"/>
      <c r="C48" s="42">
        <f>C35+G35</f>
        <v>804492</v>
      </c>
      <c r="D48" s="1"/>
      <c r="E48" s="1"/>
      <c r="F48" s="1"/>
      <c r="G48" s="62"/>
      <c r="H48" s="19"/>
      <c r="I48" s="1"/>
      <c r="J48" s="1"/>
      <c r="K48" s="1"/>
      <c r="L48" s="1"/>
      <c r="M48" s="4"/>
      <c r="N48" s="4"/>
      <c r="O48" s="1"/>
      <c r="P48" s="11">
        <v>105100</v>
      </c>
      <c r="Q48" s="1"/>
    </row>
    <row r="49" spans="1:17" ht="12.75" x14ac:dyDescent="0.2">
      <c r="A49" s="1"/>
      <c r="B49" s="1"/>
      <c r="C49" s="1">
        <f>C48/C47</f>
        <v>0.46507911915624733</v>
      </c>
      <c r="D49" s="1"/>
      <c r="E49" s="1"/>
      <c r="F49" s="1"/>
      <c r="G49" s="62"/>
      <c r="H49" s="19"/>
      <c r="I49" s="1"/>
      <c r="J49" s="1"/>
      <c r="K49" s="1"/>
      <c r="L49" s="1"/>
      <c r="M49" s="4"/>
      <c r="N49" s="4"/>
      <c r="O49" s="1"/>
      <c r="P49" s="1"/>
      <c r="Q49" s="1"/>
    </row>
    <row r="50" spans="1:17" ht="12.75" x14ac:dyDescent="0.2">
      <c r="A50" s="1"/>
      <c r="B50" s="1"/>
      <c r="C50" s="1"/>
      <c r="D50" s="1"/>
      <c r="E50" s="1"/>
      <c r="F50" s="1"/>
      <c r="G50" s="21"/>
      <c r="H50" s="19"/>
      <c r="I50" s="1"/>
      <c r="J50" s="1"/>
      <c r="K50" s="1"/>
      <c r="L50" s="1"/>
      <c r="M50" s="4"/>
      <c r="N50" s="4"/>
      <c r="O50" s="1"/>
      <c r="P50" s="1"/>
      <c r="Q50" s="1"/>
    </row>
    <row r="51" spans="1:17" ht="12.75" x14ac:dyDescent="0.2">
      <c r="A51" s="1"/>
      <c r="B51" s="1"/>
      <c r="C51" s="1"/>
      <c r="D51" s="1"/>
      <c r="E51" s="1"/>
      <c r="F51" s="1"/>
      <c r="G51" s="4"/>
      <c r="H51" s="4"/>
      <c r="I51" s="1"/>
      <c r="J51" s="1"/>
      <c r="K51" s="1"/>
      <c r="L51" s="1"/>
      <c r="M51" s="4"/>
      <c r="N51" s="4"/>
      <c r="O51" s="1"/>
      <c r="P51" s="1"/>
      <c r="Q51" s="1"/>
    </row>
    <row r="52" spans="1:1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4"/>
      <c r="O52" s="1"/>
      <c r="P52" s="1"/>
      <c r="Q52" s="1"/>
    </row>
    <row r="53" spans="1:1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4"/>
      <c r="O53" s="1"/>
      <c r="P53" s="1"/>
      <c r="Q53" s="1"/>
    </row>
    <row r="54" spans="1:1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4"/>
      <c r="O54" s="1"/>
      <c r="P54" s="1"/>
      <c r="Q54" s="1"/>
    </row>
    <row r="55" spans="1:1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 t="s">
        <v>36</v>
      </c>
      <c r="N55" s="5">
        <f>SUM(N34:N54)</f>
        <v>147900</v>
      </c>
      <c r="O55" s="1"/>
      <c r="P55" s="1"/>
      <c r="Q55" s="1"/>
    </row>
  </sheetData>
  <mergeCells count="12">
    <mergeCell ref="M17:N17"/>
    <mergeCell ref="P17:Q17"/>
    <mergeCell ref="A1:P1"/>
    <mergeCell ref="M2:N2"/>
    <mergeCell ref="A3:C3"/>
    <mergeCell ref="E3:G3"/>
    <mergeCell ref="I3:K3"/>
    <mergeCell ref="M32:N32"/>
    <mergeCell ref="B36:C36"/>
    <mergeCell ref="F36:G36"/>
    <mergeCell ref="J36:K36"/>
    <mergeCell ref="G41:H41"/>
  </mergeCells>
  <hyperlinks>
    <hyperlink ref="M22" r:id="rId1" xr:uid="{00000000-0004-0000-17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5"/>
  <sheetViews>
    <sheetView workbookViewId="0">
      <selection activeCell="N55" sqref="N55"/>
    </sheetView>
  </sheetViews>
  <sheetFormatPr defaultColWidth="12.5703125" defaultRowHeight="15.75" customHeight="1" x14ac:dyDescent="0.2"/>
  <cols>
    <col min="1" max="1" width="7.7109375" customWidth="1"/>
    <col min="2" max="2" width="7.5703125" customWidth="1"/>
    <col min="3" max="3" width="7" customWidth="1"/>
    <col min="4" max="4" width="4.7109375" customWidth="1"/>
    <col min="5" max="5" width="5.85546875" customWidth="1"/>
    <col min="6" max="7" width="8" customWidth="1"/>
    <col min="8" max="8" width="5.5703125" customWidth="1"/>
    <col min="9" max="9" width="5.42578125" customWidth="1"/>
    <col min="10" max="10" width="6.42578125" customWidth="1"/>
    <col min="11" max="11" width="6.5703125" customWidth="1"/>
    <col min="12" max="12" width="9.140625" customWidth="1"/>
    <col min="13" max="13" width="13.140625" customWidth="1"/>
    <col min="14" max="14" width="6.7109375" customWidth="1"/>
    <col min="15" max="15" width="11.140625" customWidth="1"/>
    <col min="16" max="16" width="13.42578125" customWidth="1"/>
    <col min="17" max="17" width="8" customWidth="1"/>
    <col min="18" max="18" width="6.7109375" customWidth="1"/>
    <col min="20" max="20" width="10.140625" customWidth="1"/>
    <col min="21" max="21" width="5.85546875" customWidth="1"/>
    <col min="22" max="22" width="6.7109375" customWidth="1"/>
    <col min="23" max="23" width="3.42578125" customWidth="1"/>
  </cols>
  <sheetData>
    <row r="1" spans="1:26" x14ac:dyDescent="0.2">
      <c r="A1" s="80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79"/>
      <c r="Q1" s="1"/>
      <c r="R1" s="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5" t="s">
        <v>1</v>
      </c>
      <c r="N2" s="79"/>
      <c r="O2" s="1"/>
      <c r="P2" s="1"/>
      <c r="Q2" s="1"/>
      <c r="R2" s="1"/>
    </row>
    <row r="3" spans="1:26" x14ac:dyDescent="0.2">
      <c r="A3" s="86" t="s">
        <v>2</v>
      </c>
      <c r="B3" s="84"/>
      <c r="C3" s="79"/>
      <c r="D3" s="1" t="s">
        <v>68</v>
      </c>
      <c r="E3" s="87" t="s">
        <v>3</v>
      </c>
      <c r="F3" s="84"/>
      <c r="G3" s="79"/>
      <c r="H3" s="1" t="s">
        <v>68</v>
      </c>
      <c r="I3" s="88" t="s">
        <v>4</v>
      </c>
      <c r="J3" s="84"/>
      <c r="K3" s="79"/>
      <c r="L3" s="1"/>
      <c r="M3" s="2" t="s">
        <v>5</v>
      </c>
      <c r="N3" s="3" t="s">
        <v>6</v>
      </c>
      <c r="O3" s="11" t="s">
        <v>83</v>
      </c>
      <c r="P3" s="1"/>
      <c r="Q3" s="1"/>
      <c r="R3" s="1"/>
    </row>
    <row r="4" spans="1:26" x14ac:dyDescent="0.2">
      <c r="A4" s="4" t="s">
        <v>7</v>
      </c>
      <c r="B4" s="4" t="s">
        <v>8</v>
      </c>
      <c r="C4" s="4" t="s">
        <v>9</v>
      </c>
      <c r="D4" s="1"/>
      <c r="E4" s="4" t="s">
        <v>7</v>
      </c>
      <c r="F4" s="4" t="s">
        <v>8</v>
      </c>
      <c r="G4" s="4" t="s">
        <v>9</v>
      </c>
      <c r="H4" s="1"/>
      <c r="I4" s="4" t="s">
        <v>7</v>
      </c>
      <c r="J4" s="4" t="s">
        <v>8</v>
      </c>
      <c r="K4" s="4" t="s">
        <v>9</v>
      </c>
      <c r="L4" s="1"/>
      <c r="M4" s="16" t="s">
        <v>69</v>
      </c>
      <c r="N4" s="16">
        <v>15100</v>
      </c>
      <c r="O4" s="11">
        <v>0</v>
      </c>
      <c r="P4" s="83" t="s">
        <v>11</v>
      </c>
      <c r="Q4" s="84"/>
      <c r="R4" s="79"/>
      <c r="T4" s="83" t="s">
        <v>11</v>
      </c>
      <c r="U4" s="84"/>
      <c r="V4" s="79"/>
      <c r="X4" s="83" t="s">
        <v>11</v>
      </c>
      <c r="Y4" s="84"/>
      <c r="Z4" s="79"/>
    </row>
    <row r="5" spans="1:26" x14ac:dyDescent="0.2">
      <c r="A5" s="5">
        <v>1</v>
      </c>
      <c r="B5" s="20">
        <v>850</v>
      </c>
      <c r="C5" s="20">
        <v>1621.5</v>
      </c>
      <c r="D5" s="1"/>
      <c r="E5" s="5">
        <v>1</v>
      </c>
      <c r="F5" s="20">
        <v>6860</v>
      </c>
      <c r="G5" s="20">
        <v>1940</v>
      </c>
      <c r="H5" s="7"/>
      <c r="I5" s="5">
        <v>1</v>
      </c>
      <c r="J5" s="20">
        <v>3300</v>
      </c>
      <c r="K5" s="20">
        <v>0</v>
      </c>
      <c r="L5" s="1"/>
      <c r="M5" s="4" t="s">
        <v>12</v>
      </c>
      <c r="N5" s="20">
        <v>18000</v>
      </c>
      <c r="O5" s="11">
        <v>0</v>
      </c>
      <c r="P5" s="4" t="s">
        <v>13</v>
      </c>
      <c r="Q5" s="4" t="s">
        <v>14</v>
      </c>
      <c r="R5" s="4" t="s">
        <v>6</v>
      </c>
      <c r="T5" s="4" t="s">
        <v>13</v>
      </c>
      <c r="U5" s="4" t="s">
        <v>14</v>
      </c>
      <c r="V5" s="4" t="s">
        <v>6</v>
      </c>
      <c r="X5" s="4" t="s">
        <v>13</v>
      </c>
      <c r="Y5" s="4" t="s">
        <v>14</v>
      </c>
      <c r="Z5" s="4" t="s">
        <v>6</v>
      </c>
    </row>
    <row r="6" spans="1:26" x14ac:dyDescent="0.2">
      <c r="A6" s="5">
        <v>2</v>
      </c>
      <c r="B6" s="20">
        <v>885</v>
      </c>
      <c r="C6" s="20">
        <v>0</v>
      </c>
      <c r="D6" s="7"/>
      <c r="E6" s="5">
        <v>2</v>
      </c>
      <c r="F6" s="20">
        <v>16620</v>
      </c>
      <c r="G6" s="20">
        <v>7661</v>
      </c>
      <c r="H6" s="7"/>
      <c r="I6" s="5">
        <v>2</v>
      </c>
      <c r="J6" s="20">
        <v>1600</v>
      </c>
      <c r="K6" s="20">
        <v>0</v>
      </c>
      <c r="L6" s="1"/>
      <c r="M6" s="4" t="s">
        <v>15</v>
      </c>
      <c r="N6" s="20">
        <v>15000</v>
      </c>
      <c r="O6" s="11">
        <v>6000</v>
      </c>
      <c r="P6" s="23">
        <v>44532</v>
      </c>
      <c r="Q6" s="24" t="s">
        <v>17</v>
      </c>
      <c r="R6" s="22">
        <v>500</v>
      </c>
      <c r="T6" s="18">
        <v>44547</v>
      </c>
      <c r="U6" s="19" t="s">
        <v>84</v>
      </c>
      <c r="V6" s="20">
        <v>1000</v>
      </c>
      <c r="X6" s="18">
        <v>44925</v>
      </c>
      <c r="Y6" s="19" t="s">
        <v>77</v>
      </c>
      <c r="Z6" s="20">
        <v>1000</v>
      </c>
    </row>
    <row r="7" spans="1:26" x14ac:dyDescent="0.2">
      <c r="A7" s="5">
        <v>3</v>
      </c>
      <c r="B7" s="20">
        <v>2000</v>
      </c>
      <c r="C7" s="5">
        <f>647+869+2062</f>
        <v>3578</v>
      </c>
      <c r="D7" s="7"/>
      <c r="E7" s="5">
        <v>3</v>
      </c>
      <c r="F7" s="20">
        <v>16880</v>
      </c>
      <c r="G7" s="20">
        <v>8042</v>
      </c>
      <c r="H7" s="7"/>
      <c r="I7" s="5">
        <v>3</v>
      </c>
      <c r="J7" s="20">
        <v>7100</v>
      </c>
      <c r="K7" s="20">
        <v>0</v>
      </c>
      <c r="L7" s="1"/>
      <c r="M7" s="19" t="s">
        <v>28</v>
      </c>
      <c r="N7" s="20">
        <v>13800</v>
      </c>
      <c r="O7" s="11">
        <v>11500</v>
      </c>
      <c r="P7" s="21">
        <v>44536</v>
      </c>
      <c r="Q7" s="19" t="s">
        <v>23</v>
      </c>
      <c r="R7" s="19">
        <v>3000</v>
      </c>
      <c r="T7" s="21">
        <v>44549</v>
      </c>
      <c r="U7" s="19" t="s">
        <v>17</v>
      </c>
      <c r="V7" s="19">
        <v>500</v>
      </c>
      <c r="X7" s="21">
        <v>44926</v>
      </c>
      <c r="Y7" s="19" t="s">
        <v>32</v>
      </c>
      <c r="Z7" s="19">
        <v>1000</v>
      </c>
    </row>
    <row r="8" spans="1:26" x14ac:dyDescent="0.2">
      <c r="A8" s="5">
        <v>4</v>
      </c>
      <c r="B8" s="19">
        <v>3260</v>
      </c>
      <c r="C8" s="19">
        <v>2973</v>
      </c>
      <c r="D8" s="11"/>
      <c r="E8" s="5">
        <v>4</v>
      </c>
      <c r="F8" s="19">
        <v>17274</v>
      </c>
      <c r="G8" s="19">
        <v>9308</v>
      </c>
      <c r="H8" s="11"/>
      <c r="I8" s="5">
        <v>4</v>
      </c>
      <c r="J8" s="19">
        <v>3700</v>
      </c>
      <c r="K8" s="19">
        <v>0</v>
      </c>
      <c r="L8" s="1"/>
      <c r="M8" s="4" t="s">
        <v>22</v>
      </c>
      <c r="N8" s="20">
        <v>13816</v>
      </c>
      <c r="O8" s="11">
        <v>9000</v>
      </c>
      <c r="P8" s="21">
        <v>44536</v>
      </c>
      <c r="Q8" s="19" t="s">
        <v>77</v>
      </c>
      <c r="R8" s="19">
        <v>300</v>
      </c>
      <c r="T8" s="21">
        <v>44549</v>
      </c>
      <c r="U8" s="19" t="s">
        <v>85</v>
      </c>
      <c r="V8" s="19">
        <v>2500</v>
      </c>
      <c r="X8" s="21">
        <v>44926</v>
      </c>
      <c r="Y8" s="19" t="s">
        <v>84</v>
      </c>
      <c r="Z8" s="19">
        <v>1000</v>
      </c>
    </row>
    <row r="9" spans="1:26" x14ac:dyDescent="0.2">
      <c r="A9" s="5">
        <v>5</v>
      </c>
      <c r="B9" s="19">
        <v>4795</v>
      </c>
      <c r="C9" s="19">
        <v>0</v>
      </c>
      <c r="D9" s="11"/>
      <c r="E9" s="5">
        <v>5</v>
      </c>
      <c r="F9" s="19">
        <v>15419</v>
      </c>
      <c r="G9" s="19">
        <v>6718</v>
      </c>
      <c r="H9" s="11"/>
      <c r="I9" s="5">
        <v>5</v>
      </c>
      <c r="J9" s="19">
        <v>50800</v>
      </c>
      <c r="K9" s="19">
        <v>0</v>
      </c>
      <c r="L9" s="1"/>
      <c r="M9" s="4" t="s">
        <v>24</v>
      </c>
      <c r="N9" s="20">
        <v>7000</v>
      </c>
      <c r="O9" s="11">
        <v>0</v>
      </c>
      <c r="P9" s="21">
        <v>44537</v>
      </c>
      <c r="Q9" s="19" t="s">
        <v>25</v>
      </c>
      <c r="R9" s="19">
        <v>5000</v>
      </c>
      <c r="T9" s="21">
        <v>44550</v>
      </c>
      <c r="U9" s="19" t="s">
        <v>32</v>
      </c>
      <c r="V9" s="19">
        <v>3000</v>
      </c>
      <c r="X9" s="21"/>
      <c r="Y9" s="19"/>
      <c r="Z9" s="19"/>
    </row>
    <row r="10" spans="1:26" x14ac:dyDescent="0.2">
      <c r="A10" s="5">
        <v>6</v>
      </c>
      <c r="B10" s="19">
        <v>0</v>
      </c>
      <c r="C10" s="19">
        <v>0</v>
      </c>
      <c r="D10" s="11" t="s">
        <v>21</v>
      </c>
      <c r="E10" s="5">
        <v>6</v>
      </c>
      <c r="F10" s="19">
        <v>6350</v>
      </c>
      <c r="G10" s="19">
        <v>2511</v>
      </c>
      <c r="H10" s="11"/>
      <c r="I10" s="5">
        <v>6</v>
      </c>
      <c r="J10" s="19">
        <v>2100</v>
      </c>
      <c r="K10" s="19">
        <v>0</v>
      </c>
      <c r="L10" s="1"/>
      <c r="M10" s="4" t="s">
        <v>26</v>
      </c>
      <c r="N10" s="20">
        <v>19600</v>
      </c>
      <c r="O10" s="11">
        <v>15000</v>
      </c>
      <c r="P10" s="21">
        <v>44540</v>
      </c>
      <c r="Q10" s="19" t="s">
        <v>32</v>
      </c>
      <c r="R10" s="19">
        <v>3500</v>
      </c>
      <c r="T10" s="21">
        <v>44550</v>
      </c>
      <c r="U10" s="19" t="s">
        <v>77</v>
      </c>
      <c r="V10" s="19">
        <v>1000</v>
      </c>
      <c r="X10" s="21"/>
      <c r="Y10" s="19"/>
      <c r="Z10" s="19"/>
    </row>
    <row r="11" spans="1:26" x14ac:dyDescent="0.2">
      <c r="A11" s="5">
        <v>7</v>
      </c>
      <c r="B11" s="19">
        <v>3440</v>
      </c>
      <c r="C11" s="19">
        <v>0</v>
      </c>
      <c r="D11" s="11"/>
      <c r="E11" s="5">
        <v>7</v>
      </c>
      <c r="F11" s="19">
        <v>10265</v>
      </c>
      <c r="G11" s="19">
        <v>11484</v>
      </c>
      <c r="H11" s="11"/>
      <c r="I11" s="5">
        <v>7</v>
      </c>
      <c r="J11" s="19">
        <v>7300</v>
      </c>
      <c r="K11" s="19">
        <v>0</v>
      </c>
      <c r="L11" s="1"/>
      <c r="M11" s="4" t="s">
        <v>29</v>
      </c>
      <c r="N11" s="20">
        <v>13850</v>
      </c>
      <c r="O11" s="11">
        <v>0</v>
      </c>
      <c r="P11" s="21">
        <v>44540</v>
      </c>
      <c r="Q11" s="19" t="s">
        <v>17</v>
      </c>
      <c r="R11" s="19">
        <v>1500</v>
      </c>
      <c r="T11" s="21">
        <v>44554</v>
      </c>
      <c r="U11" s="19" t="s">
        <v>86</v>
      </c>
      <c r="V11" s="19">
        <v>500</v>
      </c>
      <c r="X11" s="21"/>
      <c r="Y11" s="19"/>
      <c r="Z11" s="19"/>
    </row>
    <row r="12" spans="1:26" x14ac:dyDescent="0.2">
      <c r="A12" s="5">
        <v>8</v>
      </c>
      <c r="B12" s="19">
        <v>4968</v>
      </c>
      <c r="C12" s="19">
        <v>3197</v>
      </c>
      <c r="D12" s="11"/>
      <c r="E12" s="5">
        <v>8</v>
      </c>
      <c r="F12" s="19">
        <v>5350</v>
      </c>
      <c r="G12" s="19">
        <v>3541</v>
      </c>
      <c r="H12" s="11"/>
      <c r="I12" s="5">
        <v>8</v>
      </c>
      <c r="J12" s="19">
        <v>1700</v>
      </c>
      <c r="K12" s="19">
        <v>0</v>
      </c>
      <c r="L12" s="11"/>
      <c r="M12" s="19" t="s">
        <v>74</v>
      </c>
      <c r="N12" s="20">
        <v>13096</v>
      </c>
      <c r="O12" s="11">
        <v>2000</v>
      </c>
      <c r="P12" s="21">
        <v>44541</v>
      </c>
      <c r="Q12" s="19" t="s">
        <v>25</v>
      </c>
      <c r="R12" s="19">
        <v>10000</v>
      </c>
      <c r="T12" s="21">
        <v>44553</v>
      </c>
      <c r="U12" s="19" t="s">
        <v>23</v>
      </c>
      <c r="V12" s="19">
        <v>1000</v>
      </c>
      <c r="X12" s="21"/>
      <c r="Y12" s="19"/>
      <c r="Z12" s="19"/>
    </row>
    <row r="13" spans="1:26" x14ac:dyDescent="0.2">
      <c r="A13" s="5">
        <v>9</v>
      </c>
      <c r="B13" s="19">
        <v>2700</v>
      </c>
      <c r="C13" s="19">
        <v>2876</v>
      </c>
      <c r="D13" s="11"/>
      <c r="E13" s="5">
        <v>9</v>
      </c>
      <c r="F13" s="19">
        <v>12380</v>
      </c>
      <c r="G13" s="19">
        <v>11659</v>
      </c>
      <c r="H13" s="11"/>
      <c r="I13" s="5">
        <v>9</v>
      </c>
      <c r="J13" s="19">
        <v>3000</v>
      </c>
      <c r="K13" s="19">
        <v>0</v>
      </c>
      <c r="L13" s="1"/>
      <c r="M13" s="19" t="s">
        <v>87</v>
      </c>
      <c r="N13" s="19">
        <v>9400</v>
      </c>
      <c r="O13" s="11">
        <v>0</v>
      </c>
      <c r="P13" s="21">
        <v>44543</v>
      </c>
      <c r="Q13" s="19" t="s">
        <v>23</v>
      </c>
      <c r="R13" s="19">
        <v>2500</v>
      </c>
      <c r="T13" s="21">
        <v>44556</v>
      </c>
      <c r="U13" s="19" t="s">
        <v>32</v>
      </c>
      <c r="V13" s="19">
        <v>1500</v>
      </c>
      <c r="X13" s="21"/>
      <c r="Y13" s="19"/>
      <c r="Z13" s="19"/>
    </row>
    <row r="14" spans="1:26" x14ac:dyDescent="0.2">
      <c r="A14" s="5">
        <v>10</v>
      </c>
      <c r="B14" s="19">
        <v>5575</v>
      </c>
      <c r="C14" s="19">
        <v>1467</v>
      </c>
      <c r="D14" s="11"/>
      <c r="E14" s="5">
        <v>10</v>
      </c>
      <c r="F14" s="19">
        <v>12510</v>
      </c>
      <c r="G14" s="19">
        <v>11515</v>
      </c>
      <c r="H14" s="11"/>
      <c r="I14" s="5">
        <v>10</v>
      </c>
      <c r="J14" s="19">
        <v>5800</v>
      </c>
      <c r="K14" s="19">
        <v>0</v>
      </c>
      <c r="L14" s="1"/>
      <c r="M14" s="19" t="s">
        <v>77</v>
      </c>
      <c r="N14" s="19">
        <v>14050</v>
      </c>
      <c r="O14" s="11">
        <v>2300</v>
      </c>
      <c r="P14" s="21">
        <v>44545</v>
      </c>
      <c r="Q14" s="19" t="s">
        <v>32</v>
      </c>
      <c r="R14" s="19">
        <v>1500</v>
      </c>
      <c r="T14" s="21">
        <v>44925</v>
      </c>
      <c r="U14" s="19" t="s">
        <v>17</v>
      </c>
      <c r="V14" s="19">
        <v>1000</v>
      </c>
      <c r="X14" s="21"/>
      <c r="Y14" s="19"/>
      <c r="Z14" s="19"/>
    </row>
    <row r="15" spans="1:26" x14ac:dyDescent="0.2">
      <c r="A15" s="5">
        <v>11</v>
      </c>
      <c r="B15" s="19">
        <v>3358</v>
      </c>
      <c r="C15" s="19">
        <v>0</v>
      </c>
      <c r="D15" s="11"/>
      <c r="E15" s="5">
        <v>11</v>
      </c>
      <c r="F15" s="19">
        <v>11630</v>
      </c>
      <c r="G15" s="19">
        <v>0</v>
      </c>
      <c r="H15" s="11"/>
      <c r="I15" s="5">
        <v>11</v>
      </c>
      <c r="J15" s="19">
        <v>1600</v>
      </c>
      <c r="K15" s="19">
        <v>0</v>
      </c>
      <c r="L15" s="1"/>
      <c r="M15" s="12" t="s">
        <v>79</v>
      </c>
      <c r="N15" s="13">
        <f>SUM(N4:N14)</f>
        <v>152712</v>
      </c>
      <c r="O15" s="1"/>
      <c r="P15" s="21">
        <v>44546</v>
      </c>
      <c r="Q15" s="19" t="s">
        <v>17</v>
      </c>
      <c r="R15" s="19">
        <v>2500</v>
      </c>
      <c r="T15" s="21">
        <v>44925</v>
      </c>
      <c r="U15" s="19" t="s">
        <v>23</v>
      </c>
      <c r="V15" s="19">
        <v>2500</v>
      </c>
      <c r="X15" s="21"/>
      <c r="Y15" s="19"/>
      <c r="Z15" s="19"/>
    </row>
    <row r="16" spans="1:26" x14ac:dyDescent="0.2">
      <c r="A16" s="5">
        <v>12</v>
      </c>
      <c r="B16" s="19">
        <v>4915</v>
      </c>
      <c r="C16" s="19">
        <v>5839</v>
      </c>
      <c r="D16" s="11"/>
      <c r="E16" s="5">
        <v>12</v>
      </c>
      <c r="F16" s="19">
        <v>8715</v>
      </c>
      <c r="G16" s="19">
        <v>14084</v>
      </c>
      <c r="H16" s="11"/>
      <c r="I16" s="5">
        <v>12</v>
      </c>
      <c r="J16" s="19">
        <v>41800</v>
      </c>
      <c r="K16" s="19">
        <v>0</v>
      </c>
      <c r="L16" s="1"/>
      <c r="M16" s="25"/>
      <c r="N16" s="6"/>
      <c r="O16" s="1"/>
      <c r="P16" s="1"/>
      <c r="Q16" s="1"/>
      <c r="R16" s="1"/>
    </row>
    <row r="17" spans="1:18" x14ac:dyDescent="0.2">
      <c r="A17" s="5">
        <v>13</v>
      </c>
      <c r="B17" s="19">
        <v>0</v>
      </c>
      <c r="C17" s="19">
        <v>0</v>
      </c>
      <c r="D17" s="11" t="s">
        <v>21</v>
      </c>
      <c r="E17" s="5">
        <v>13</v>
      </c>
      <c r="F17" s="19">
        <v>3540</v>
      </c>
      <c r="G17" s="19">
        <v>4136</v>
      </c>
      <c r="H17" s="11"/>
      <c r="I17" s="5">
        <v>13</v>
      </c>
      <c r="J17" s="19">
        <v>4500</v>
      </c>
      <c r="K17" s="19">
        <v>0</v>
      </c>
      <c r="L17" s="1"/>
      <c r="M17" s="78" t="s">
        <v>37</v>
      </c>
      <c r="N17" s="79"/>
      <c r="O17" s="1"/>
      <c r="P17" s="80" t="s">
        <v>38</v>
      </c>
      <c r="Q17" s="79"/>
      <c r="R17" s="1"/>
    </row>
    <row r="18" spans="1:18" x14ac:dyDescent="0.2">
      <c r="A18" s="5">
        <v>14</v>
      </c>
      <c r="B18" s="19">
        <v>1790</v>
      </c>
      <c r="C18" s="19">
        <v>4345</v>
      </c>
      <c r="D18" s="11"/>
      <c r="E18" s="5">
        <v>14</v>
      </c>
      <c r="F18" s="19">
        <v>7810</v>
      </c>
      <c r="G18" s="19">
        <v>2445</v>
      </c>
      <c r="H18" s="11"/>
      <c r="I18" s="5">
        <v>14</v>
      </c>
      <c r="J18" s="19">
        <v>1500</v>
      </c>
      <c r="K18" s="19">
        <v>0</v>
      </c>
      <c r="L18" s="1"/>
      <c r="M18" s="2" t="s">
        <v>39</v>
      </c>
      <c r="N18" s="3" t="s">
        <v>6</v>
      </c>
      <c r="O18" s="1"/>
      <c r="P18" s="2" t="s">
        <v>5</v>
      </c>
      <c r="Q18" s="3" t="s">
        <v>6</v>
      </c>
      <c r="R18" s="1"/>
    </row>
    <row r="19" spans="1:18" x14ac:dyDescent="0.2">
      <c r="A19" s="5">
        <v>15</v>
      </c>
      <c r="B19" s="19">
        <v>6970</v>
      </c>
      <c r="C19" s="19">
        <v>2932</v>
      </c>
      <c r="D19" s="11"/>
      <c r="E19" s="5">
        <v>15</v>
      </c>
      <c r="F19" s="19">
        <v>11155</v>
      </c>
      <c r="G19" s="19">
        <v>6069</v>
      </c>
      <c r="H19" s="11"/>
      <c r="I19" s="5">
        <v>15</v>
      </c>
      <c r="J19" s="19">
        <v>0</v>
      </c>
      <c r="K19" s="19">
        <v>0</v>
      </c>
      <c r="L19" s="1"/>
      <c r="M19" s="4" t="s">
        <v>41</v>
      </c>
      <c r="N19" s="20">
        <v>50000</v>
      </c>
      <c r="O19" s="1"/>
      <c r="P19" s="4" t="s">
        <v>42</v>
      </c>
      <c r="Q19" s="5">
        <f>B35+F35+J35</f>
        <v>944307</v>
      </c>
      <c r="R19" s="1"/>
    </row>
    <row r="20" spans="1:18" x14ac:dyDescent="0.2">
      <c r="A20" s="5">
        <v>16</v>
      </c>
      <c r="B20" s="19">
        <v>4525</v>
      </c>
      <c r="C20" s="19">
        <v>4536</v>
      </c>
      <c r="D20" s="11"/>
      <c r="E20" s="5">
        <v>16</v>
      </c>
      <c r="F20" s="19">
        <v>10625</v>
      </c>
      <c r="G20" s="19">
        <v>4170</v>
      </c>
      <c r="H20" s="11"/>
      <c r="I20" s="5">
        <v>16</v>
      </c>
      <c r="J20" s="19">
        <v>4300</v>
      </c>
      <c r="K20" s="19">
        <v>0</v>
      </c>
      <c r="L20" s="11"/>
      <c r="M20" s="4" t="s">
        <v>43</v>
      </c>
      <c r="N20" s="19">
        <v>28000</v>
      </c>
      <c r="O20" s="1"/>
      <c r="P20" s="4" t="s">
        <v>44</v>
      </c>
      <c r="Q20" s="5">
        <f>C35+G35+K35+N15+N30+N55</f>
        <v>602038.9</v>
      </c>
      <c r="R20" s="1"/>
    </row>
    <row r="21" spans="1:18" x14ac:dyDescent="0.2">
      <c r="A21" s="5">
        <v>17</v>
      </c>
      <c r="B21" s="19">
        <v>7133</v>
      </c>
      <c r="C21" s="19">
        <v>4802</v>
      </c>
      <c r="D21" s="11"/>
      <c r="E21" s="5">
        <v>17</v>
      </c>
      <c r="F21" s="19">
        <v>12255</v>
      </c>
      <c r="G21" s="19">
        <v>14908</v>
      </c>
      <c r="H21" s="11"/>
      <c r="I21" s="5">
        <v>17</v>
      </c>
      <c r="J21" s="19">
        <v>23000</v>
      </c>
      <c r="K21" s="19">
        <v>0</v>
      </c>
      <c r="L21" s="1"/>
      <c r="M21" s="4" t="s">
        <v>46</v>
      </c>
      <c r="N21" s="5">
        <v>2500</v>
      </c>
      <c r="O21" s="1"/>
      <c r="P21" s="26" t="s">
        <v>47</v>
      </c>
      <c r="Q21" s="27">
        <f>Q19-Q20</f>
        <v>342268.1</v>
      </c>
      <c r="R21" s="1"/>
    </row>
    <row r="22" spans="1:18" x14ac:dyDescent="0.2">
      <c r="A22" s="5">
        <v>18</v>
      </c>
      <c r="B22" s="19">
        <v>5940</v>
      </c>
      <c r="C22" s="19">
        <v>0</v>
      </c>
      <c r="D22" s="11"/>
      <c r="E22" s="5">
        <v>18</v>
      </c>
      <c r="F22" s="19">
        <v>11698</v>
      </c>
      <c r="G22" s="19">
        <v>9079</v>
      </c>
      <c r="H22" s="11"/>
      <c r="I22" s="5">
        <v>18</v>
      </c>
      <c r="J22" s="19">
        <v>500</v>
      </c>
      <c r="K22" s="19">
        <v>0</v>
      </c>
      <c r="L22" s="1"/>
      <c r="M22" s="4"/>
      <c r="N22" s="19"/>
      <c r="O22" s="1"/>
      <c r="P22" s="4" t="s">
        <v>49</v>
      </c>
      <c r="Q22" s="20">
        <v>35000</v>
      </c>
      <c r="R22" s="1"/>
    </row>
    <row r="23" spans="1:18" x14ac:dyDescent="0.2">
      <c r="A23" s="5">
        <v>19</v>
      </c>
      <c r="B23" s="19">
        <v>3520</v>
      </c>
      <c r="C23" s="19">
        <v>3772</v>
      </c>
      <c r="D23" s="11"/>
      <c r="E23" s="5">
        <v>19</v>
      </c>
      <c r="F23" s="19">
        <v>29810</v>
      </c>
      <c r="G23" s="19">
        <v>5644</v>
      </c>
      <c r="H23" s="11"/>
      <c r="I23" s="5">
        <v>19</v>
      </c>
      <c r="J23" s="19">
        <v>16500</v>
      </c>
      <c r="K23" s="19">
        <v>0</v>
      </c>
      <c r="L23" s="1"/>
      <c r="M23" s="4" t="s">
        <v>50</v>
      </c>
      <c r="N23" s="5">
        <v>1690</v>
      </c>
      <c r="O23" s="1"/>
      <c r="P23" s="1"/>
      <c r="Q23" s="1"/>
      <c r="R23" s="1"/>
    </row>
    <row r="24" spans="1:18" x14ac:dyDescent="0.2">
      <c r="A24" s="5">
        <v>20</v>
      </c>
      <c r="B24" s="19">
        <v>0</v>
      </c>
      <c r="C24" s="19">
        <v>0</v>
      </c>
      <c r="D24" s="11" t="s">
        <v>21</v>
      </c>
      <c r="E24" s="5">
        <v>20</v>
      </c>
      <c r="F24" s="19">
        <v>9660</v>
      </c>
      <c r="G24" s="19">
        <v>5310</v>
      </c>
      <c r="H24" s="11"/>
      <c r="I24" s="5">
        <v>20</v>
      </c>
      <c r="J24" s="19">
        <v>500</v>
      </c>
      <c r="K24" s="19">
        <v>0</v>
      </c>
      <c r="L24" s="1"/>
      <c r="M24" s="4" t="s">
        <v>51</v>
      </c>
      <c r="N24" s="20">
        <v>5000</v>
      </c>
      <c r="O24" s="1"/>
      <c r="P24" s="1"/>
      <c r="Q24" s="1"/>
      <c r="R24" s="1"/>
    </row>
    <row r="25" spans="1:18" x14ac:dyDescent="0.2">
      <c r="A25" s="5">
        <v>21</v>
      </c>
      <c r="B25" s="19">
        <v>7200</v>
      </c>
      <c r="C25" s="19">
        <v>3128</v>
      </c>
      <c r="D25" s="11"/>
      <c r="E25" s="5">
        <v>21</v>
      </c>
      <c r="F25" s="19">
        <v>17365</v>
      </c>
      <c r="G25" s="19">
        <v>3300</v>
      </c>
      <c r="H25" s="11"/>
      <c r="I25" s="5">
        <v>21</v>
      </c>
      <c r="J25" s="19">
        <f>19712+14388</f>
        <v>34100</v>
      </c>
      <c r="K25" s="19">
        <v>0</v>
      </c>
      <c r="L25" s="11" t="s">
        <v>88</v>
      </c>
      <c r="M25" s="19" t="s">
        <v>89</v>
      </c>
      <c r="N25" s="4"/>
      <c r="O25" s="1"/>
      <c r="P25" s="1"/>
      <c r="Q25" s="1"/>
      <c r="R25" s="1"/>
    </row>
    <row r="26" spans="1:18" x14ac:dyDescent="0.2">
      <c r="A26" s="5">
        <v>22</v>
      </c>
      <c r="B26" s="19">
        <v>9678</v>
      </c>
      <c r="C26" s="19">
        <v>0</v>
      </c>
      <c r="D26" s="11"/>
      <c r="E26" s="5">
        <v>22</v>
      </c>
      <c r="F26" s="19">
        <v>13355</v>
      </c>
      <c r="G26" s="19">
        <v>13081</v>
      </c>
      <c r="H26" s="11"/>
      <c r="I26" s="5">
        <v>22</v>
      </c>
      <c r="J26" s="19">
        <v>3200</v>
      </c>
      <c r="K26" s="19">
        <v>0</v>
      </c>
      <c r="L26" s="1"/>
      <c r="M26" s="4"/>
      <c r="N26" s="4"/>
      <c r="O26" s="1"/>
      <c r="P26" s="1"/>
      <c r="Q26" s="1"/>
      <c r="R26" s="1"/>
    </row>
    <row r="27" spans="1:18" x14ac:dyDescent="0.2">
      <c r="A27" s="5">
        <v>23</v>
      </c>
      <c r="B27" s="19">
        <v>3885</v>
      </c>
      <c r="C27" s="19">
        <v>5637</v>
      </c>
      <c r="D27" s="11"/>
      <c r="E27" s="5">
        <v>23</v>
      </c>
      <c r="F27" s="19">
        <v>9276</v>
      </c>
      <c r="G27" s="19">
        <v>6557</v>
      </c>
      <c r="H27" s="11"/>
      <c r="I27" s="5">
        <v>23</v>
      </c>
      <c r="J27" s="19">
        <v>9300</v>
      </c>
      <c r="K27" s="19">
        <v>0</v>
      </c>
      <c r="L27" s="1"/>
      <c r="M27" s="4"/>
      <c r="N27" s="4"/>
      <c r="O27" s="1"/>
      <c r="P27" s="1"/>
      <c r="Q27" s="1"/>
      <c r="R27" s="1"/>
    </row>
    <row r="28" spans="1:18" x14ac:dyDescent="0.2">
      <c r="A28" s="5">
        <v>24</v>
      </c>
      <c r="B28" s="19">
        <v>17831</v>
      </c>
      <c r="C28" s="19">
        <f>1005.8+1140.6</f>
        <v>2146.3999999999996</v>
      </c>
      <c r="D28" s="11"/>
      <c r="E28" s="5">
        <v>24</v>
      </c>
      <c r="F28" s="19">
        <v>7240</v>
      </c>
      <c r="G28" s="19">
        <v>11044</v>
      </c>
      <c r="H28" s="11"/>
      <c r="I28" s="5">
        <v>24</v>
      </c>
      <c r="J28" s="19">
        <v>7100</v>
      </c>
      <c r="K28" s="19">
        <v>0</v>
      </c>
      <c r="L28" s="1"/>
      <c r="M28" s="4"/>
      <c r="N28" s="4"/>
      <c r="O28" s="1"/>
      <c r="P28" s="1"/>
      <c r="Q28" s="1"/>
      <c r="R28" s="1"/>
    </row>
    <row r="29" spans="1:18" x14ac:dyDescent="0.2">
      <c r="A29" s="5">
        <v>25</v>
      </c>
      <c r="B29" s="19">
        <v>5218</v>
      </c>
      <c r="C29" s="19">
        <f>3111+1551+2991+1589</f>
        <v>9242</v>
      </c>
      <c r="D29" s="11"/>
      <c r="E29" s="5">
        <v>25</v>
      </c>
      <c r="F29" s="19">
        <v>22082</v>
      </c>
      <c r="G29" s="19">
        <v>19520</v>
      </c>
      <c r="H29" s="11"/>
      <c r="I29" s="5">
        <v>25</v>
      </c>
      <c r="J29" s="19">
        <v>9000</v>
      </c>
      <c r="K29" s="19">
        <v>0</v>
      </c>
      <c r="L29" s="1"/>
      <c r="M29" s="4"/>
      <c r="N29" s="4"/>
      <c r="O29" s="1"/>
      <c r="P29" s="1"/>
      <c r="Q29" s="1"/>
      <c r="R29" s="1"/>
    </row>
    <row r="30" spans="1:18" x14ac:dyDescent="0.2">
      <c r="A30" s="5">
        <v>26</v>
      </c>
      <c r="B30" s="19">
        <v>0</v>
      </c>
      <c r="C30" s="19">
        <v>0</v>
      </c>
      <c r="D30" s="11"/>
      <c r="E30" s="5">
        <v>26</v>
      </c>
      <c r="F30" s="19">
        <v>57420</v>
      </c>
      <c r="G30" s="19">
        <v>35871</v>
      </c>
      <c r="H30" s="11"/>
      <c r="I30" s="5">
        <v>26</v>
      </c>
      <c r="J30" s="19">
        <v>18300</v>
      </c>
      <c r="K30" s="19">
        <v>0</v>
      </c>
      <c r="L30" s="1"/>
      <c r="M30" s="12" t="s">
        <v>36</v>
      </c>
      <c r="N30" s="13">
        <f>SUM(N19:N29)</f>
        <v>87190</v>
      </c>
      <c r="O30" s="1"/>
      <c r="P30" s="1"/>
      <c r="Q30" s="1"/>
      <c r="R30" s="1"/>
    </row>
    <row r="31" spans="1:18" x14ac:dyDescent="0.2">
      <c r="A31" s="5">
        <v>27</v>
      </c>
      <c r="B31" s="19">
        <v>0</v>
      </c>
      <c r="C31" s="19">
        <v>0</v>
      </c>
      <c r="D31" s="11"/>
      <c r="E31" s="5">
        <v>27</v>
      </c>
      <c r="F31" s="19">
        <v>12240</v>
      </c>
      <c r="G31" s="19">
        <v>2095</v>
      </c>
      <c r="H31" s="11"/>
      <c r="I31" s="5">
        <v>27</v>
      </c>
      <c r="J31" s="19">
        <v>1000</v>
      </c>
      <c r="K31" s="19">
        <v>0</v>
      </c>
      <c r="L31" s="1"/>
      <c r="M31" s="1"/>
      <c r="N31" s="1"/>
      <c r="O31" s="1"/>
      <c r="P31" s="1"/>
      <c r="Q31" s="1"/>
      <c r="R31" s="1"/>
    </row>
    <row r="32" spans="1:18" x14ac:dyDescent="0.2">
      <c r="A32" s="5">
        <v>28</v>
      </c>
      <c r="B32" s="19">
        <v>9127</v>
      </c>
      <c r="C32" s="19">
        <v>3324</v>
      </c>
      <c r="D32" s="11"/>
      <c r="E32" s="5">
        <v>28</v>
      </c>
      <c r="F32" s="19">
        <v>17525</v>
      </c>
      <c r="G32" s="19">
        <v>12776</v>
      </c>
      <c r="H32" s="1"/>
      <c r="I32" s="5">
        <v>28</v>
      </c>
      <c r="J32" s="19">
        <v>1600</v>
      </c>
      <c r="K32" s="19">
        <v>0</v>
      </c>
      <c r="L32" s="1"/>
      <c r="M32" s="81" t="s">
        <v>53</v>
      </c>
      <c r="N32" s="79"/>
      <c r="O32" s="1"/>
      <c r="P32" s="1"/>
      <c r="Q32" s="1"/>
      <c r="R32" s="1"/>
    </row>
    <row r="33" spans="1:18" x14ac:dyDescent="0.2">
      <c r="A33" s="5">
        <v>29</v>
      </c>
      <c r="B33" s="19">
        <v>6039</v>
      </c>
      <c r="C33" s="19">
        <v>3994</v>
      </c>
      <c r="D33" s="1"/>
      <c r="E33" s="5">
        <v>29</v>
      </c>
      <c r="F33" s="19">
        <v>27810</v>
      </c>
      <c r="G33" s="19">
        <f>22002-2255</f>
        <v>19747</v>
      </c>
      <c r="H33" s="1"/>
      <c r="I33" s="5">
        <v>29</v>
      </c>
      <c r="J33" s="19">
        <v>1100</v>
      </c>
      <c r="K33" s="19">
        <v>0</v>
      </c>
      <c r="L33" s="1"/>
      <c r="M33" s="2" t="s">
        <v>39</v>
      </c>
      <c r="N33" s="3" t="s">
        <v>6</v>
      </c>
      <c r="O33" s="1"/>
      <c r="P33" s="1"/>
      <c r="Q33" s="1"/>
      <c r="R33" s="1"/>
    </row>
    <row r="34" spans="1:18" x14ac:dyDescent="0.2">
      <c r="A34" s="5">
        <v>30</v>
      </c>
      <c r="B34" s="19">
        <v>7590</v>
      </c>
      <c r="C34" s="19">
        <v>8722</v>
      </c>
      <c r="D34" s="11"/>
      <c r="E34" s="5">
        <v>30</v>
      </c>
      <c r="F34" s="19">
        <v>42131</v>
      </c>
      <c r="G34" s="19">
        <v>14361</v>
      </c>
      <c r="H34" s="1"/>
      <c r="I34" s="5">
        <v>30</v>
      </c>
      <c r="J34" s="19">
        <v>23300</v>
      </c>
      <c r="K34" s="19">
        <v>0</v>
      </c>
      <c r="L34" s="1"/>
      <c r="M34" s="19" t="s">
        <v>90</v>
      </c>
      <c r="N34" s="19">
        <v>2929</v>
      </c>
      <c r="O34" s="28">
        <v>44553</v>
      </c>
      <c r="P34" s="1"/>
      <c r="Q34" s="1"/>
      <c r="R34" s="1"/>
    </row>
    <row r="35" spans="1:18" x14ac:dyDescent="0.2">
      <c r="A35" s="12" t="s">
        <v>36</v>
      </c>
      <c r="B35" s="13">
        <f t="shared" ref="B35:C35" si="0">SUM(B5:B34)+B37</f>
        <v>133192</v>
      </c>
      <c r="C35" s="13">
        <f t="shared" si="0"/>
        <v>78131.899999999994</v>
      </c>
      <c r="D35" s="1"/>
      <c r="E35" s="12" t="s">
        <v>36</v>
      </c>
      <c r="F35" s="13">
        <f>SUM(F5:F34)+F37</f>
        <v>489665</v>
      </c>
      <c r="G35" s="13">
        <f>SUM(G5:G34)</f>
        <v>278576</v>
      </c>
      <c r="H35" s="1"/>
      <c r="I35" s="12" t="s">
        <v>36</v>
      </c>
      <c r="J35" s="13">
        <f t="shared" ref="J35:K35" si="1">SUM(J5:J34)+J37</f>
        <v>321450</v>
      </c>
      <c r="K35" s="13">
        <f t="shared" si="1"/>
        <v>0</v>
      </c>
      <c r="L35" s="1"/>
      <c r="M35" s="19" t="s">
        <v>91</v>
      </c>
      <c r="N35" s="19">
        <v>2500</v>
      </c>
      <c r="O35" s="1"/>
      <c r="P35" s="1"/>
      <c r="Q35" s="1"/>
      <c r="R35" s="1"/>
    </row>
    <row r="36" spans="1:18" x14ac:dyDescent="0.2">
      <c r="A36" s="3" t="s">
        <v>56</v>
      </c>
      <c r="B36" s="82">
        <f>B35-C35</f>
        <v>55060.100000000006</v>
      </c>
      <c r="C36" s="79"/>
      <c r="D36" s="1"/>
      <c r="E36" s="3" t="s">
        <v>56</v>
      </c>
      <c r="F36" s="82">
        <f>F35-G35</f>
        <v>211089</v>
      </c>
      <c r="G36" s="79"/>
      <c r="H36" s="1"/>
      <c r="I36" s="3" t="s">
        <v>56</v>
      </c>
      <c r="J36" s="82">
        <f>J35-K35</f>
        <v>321450</v>
      </c>
      <c r="K36" s="79"/>
      <c r="L36" s="1"/>
      <c r="M36" s="4"/>
      <c r="N36" s="4"/>
      <c r="O36" s="1"/>
      <c r="P36" s="1"/>
      <c r="Q36" s="1"/>
      <c r="R36" s="1"/>
    </row>
    <row r="37" spans="1:18" x14ac:dyDescent="0.2">
      <c r="A37" s="5">
        <v>31</v>
      </c>
      <c r="B37" s="19">
        <v>0</v>
      </c>
      <c r="C37" s="19">
        <v>0</v>
      </c>
      <c r="D37" s="1"/>
      <c r="E37" s="5">
        <v>31</v>
      </c>
      <c r="F37" s="19">
        <v>26415</v>
      </c>
      <c r="G37" s="19">
        <v>6023</v>
      </c>
      <c r="H37" s="1"/>
      <c r="I37" s="5">
        <v>31</v>
      </c>
      <c r="J37" s="19">
        <v>32850</v>
      </c>
      <c r="K37" s="19">
        <v>0</v>
      </c>
      <c r="L37" s="1"/>
      <c r="M37" s="4"/>
      <c r="N37" s="4"/>
      <c r="O37" s="1"/>
      <c r="P37" s="1"/>
      <c r="Q37" s="1"/>
      <c r="R37" s="1"/>
    </row>
    <row r="38" spans="1:1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4"/>
      <c r="N38" s="14"/>
      <c r="O38" s="1"/>
      <c r="P38" s="1"/>
      <c r="Q38" s="1"/>
      <c r="R38" s="1"/>
    </row>
    <row r="39" spans="1:1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4"/>
      <c r="N39" s="4"/>
      <c r="O39" s="1"/>
      <c r="P39" s="1"/>
      <c r="Q39" s="1"/>
      <c r="R39" s="1"/>
    </row>
    <row r="40" spans="1:1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"/>
      <c r="N40" s="4"/>
      <c r="O40" s="1"/>
      <c r="P40" s="1"/>
      <c r="Q40" s="1"/>
      <c r="R40" s="1"/>
    </row>
    <row r="41" spans="1:1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4"/>
      <c r="N41" s="4"/>
      <c r="O41" s="1"/>
      <c r="P41" s="1"/>
      <c r="Q41" s="1"/>
      <c r="R41" s="1"/>
    </row>
    <row r="42" spans="1:1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4"/>
      <c r="N42" s="4"/>
      <c r="O42" s="1"/>
      <c r="P42" s="1"/>
      <c r="Q42" s="1"/>
      <c r="R42" s="1"/>
    </row>
    <row r="43" spans="1:1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"/>
      <c r="N43" s="4"/>
      <c r="O43" s="1"/>
      <c r="P43" s="1"/>
      <c r="Q43" s="1"/>
      <c r="R43" s="1"/>
    </row>
    <row r="44" spans="1:18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4"/>
      <c r="N44" s="4"/>
      <c r="O44" s="1"/>
      <c r="P44" s="1"/>
      <c r="Q44" s="1"/>
      <c r="R44" s="1"/>
    </row>
    <row r="45" spans="1:18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4"/>
      <c r="N45" s="4"/>
      <c r="O45" s="1"/>
      <c r="P45" s="1"/>
      <c r="Q45" s="1"/>
      <c r="R45" s="1"/>
    </row>
    <row r="46" spans="1:1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4"/>
      <c r="N46" s="4"/>
      <c r="O46" s="1"/>
      <c r="P46" s="1"/>
      <c r="Q46" s="1"/>
      <c r="R46" s="1"/>
    </row>
    <row r="47" spans="1:18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4"/>
      <c r="N47" s="4"/>
      <c r="O47" s="1"/>
      <c r="P47" s="1"/>
      <c r="Q47" s="1"/>
      <c r="R47" s="1"/>
    </row>
    <row r="48" spans="1:18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4"/>
      <c r="N48" s="4"/>
      <c r="O48" s="1"/>
      <c r="P48" s="1"/>
      <c r="Q48" s="1"/>
      <c r="R48" s="1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"/>
      <c r="N49" s="4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4"/>
      <c r="N50" s="4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4"/>
      <c r="N51" s="4"/>
      <c r="O51" s="1"/>
      <c r="P51" s="1"/>
      <c r="Q51" s="1"/>
      <c r="R51" s="1"/>
    </row>
    <row r="52" spans="1:18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4"/>
      <c r="O52" s="1"/>
      <c r="P52" s="1"/>
      <c r="Q52" s="1"/>
      <c r="R52" s="1"/>
    </row>
    <row r="53" spans="1:18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4"/>
      <c r="O53" s="1"/>
      <c r="P53" s="1"/>
      <c r="Q53" s="1"/>
      <c r="R53" s="1"/>
    </row>
    <row r="54" spans="1:1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4"/>
      <c r="O54" s="1"/>
      <c r="P54" s="1"/>
      <c r="Q54" s="1"/>
      <c r="R54" s="1"/>
    </row>
    <row r="55" spans="1:1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 t="s">
        <v>36</v>
      </c>
      <c r="N55" s="5">
        <f>SUM(N34:N54)</f>
        <v>5429</v>
      </c>
      <c r="O55" s="1"/>
      <c r="P55" s="1"/>
      <c r="Q55" s="1"/>
      <c r="R55" s="1"/>
    </row>
  </sheetData>
  <mergeCells count="14">
    <mergeCell ref="T4:V4"/>
    <mergeCell ref="X4:Z4"/>
    <mergeCell ref="A1:P1"/>
    <mergeCell ref="A3:C3"/>
    <mergeCell ref="E3:G3"/>
    <mergeCell ref="I3:K3"/>
    <mergeCell ref="P4:R4"/>
    <mergeCell ref="M2:N2"/>
    <mergeCell ref="M17:N17"/>
    <mergeCell ref="P17:Q17"/>
    <mergeCell ref="M32:N32"/>
    <mergeCell ref="B36:C36"/>
    <mergeCell ref="F36:G36"/>
    <mergeCell ref="J36:K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Z55"/>
  <sheetViews>
    <sheetView topLeftCell="A4" workbookViewId="0">
      <selection activeCell="R19" sqref="R19"/>
    </sheetView>
  </sheetViews>
  <sheetFormatPr defaultColWidth="12.5703125" defaultRowHeight="15.75" customHeight="1" x14ac:dyDescent="0.2"/>
  <cols>
    <col min="1" max="1" width="6.7109375" customWidth="1"/>
    <col min="2" max="2" width="6.42578125" customWidth="1"/>
    <col min="3" max="3" width="6.5703125" customWidth="1"/>
    <col min="4" max="4" width="4.42578125" customWidth="1"/>
    <col min="5" max="5" width="6.7109375" customWidth="1"/>
    <col min="6" max="6" width="6.42578125" customWidth="1"/>
    <col min="7" max="7" width="6.5703125" customWidth="1"/>
    <col min="8" max="8" width="4.42578125" customWidth="1"/>
    <col min="9" max="10" width="6.42578125" customWidth="1"/>
    <col min="11" max="11" width="6.5703125" customWidth="1"/>
    <col min="12" max="12" width="4.42578125" customWidth="1"/>
    <col min="15" max="15" width="3.42578125" customWidth="1"/>
    <col min="16" max="17" width="12.28515625" customWidth="1"/>
    <col min="18" max="18" width="6.7109375" customWidth="1"/>
    <col min="19" max="19" width="3.85546875" customWidth="1"/>
    <col min="20" max="20" width="5.140625" customWidth="1"/>
    <col min="21" max="21" width="13" customWidth="1"/>
    <col min="22" max="22" width="8" customWidth="1"/>
    <col min="23" max="23" width="9.42578125" customWidth="1"/>
    <col min="24" max="24" width="6.5703125" customWidth="1"/>
    <col min="25" max="25" width="7.140625" customWidth="1"/>
    <col min="26" max="26" width="6.7109375" customWidth="1"/>
  </cols>
  <sheetData>
    <row r="1" spans="1:26" x14ac:dyDescent="0.2">
      <c r="A1" s="80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79"/>
      <c r="Q1" s="1"/>
      <c r="R1" s="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5" t="s">
        <v>1</v>
      </c>
      <c r="N2" s="79"/>
      <c r="O2" s="1"/>
      <c r="P2" s="1"/>
      <c r="Q2" s="1"/>
      <c r="R2" s="1"/>
    </row>
    <row r="3" spans="1:26" x14ac:dyDescent="0.2">
      <c r="A3" s="86" t="s">
        <v>2</v>
      </c>
      <c r="B3" s="84"/>
      <c r="C3" s="79"/>
      <c r="D3" s="1"/>
      <c r="E3" s="87" t="s">
        <v>3</v>
      </c>
      <c r="F3" s="84"/>
      <c r="G3" s="79"/>
      <c r="H3" s="1"/>
      <c r="I3" s="88" t="s">
        <v>4</v>
      </c>
      <c r="J3" s="84"/>
      <c r="K3" s="79"/>
      <c r="L3" s="1"/>
      <c r="M3" s="2" t="s">
        <v>5</v>
      </c>
      <c r="N3" s="3" t="s">
        <v>6</v>
      </c>
      <c r="O3" s="1"/>
      <c r="P3" s="1"/>
      <c r="Q3" s="1"/>
      <c r="R3" s="1"/>
    </row>
    <row r="4" spans="1:26" x14ac:dyDescent="0.2">
      <c r="A4" s="4" t="s">
        <v>7</v>
      </c>
      <c r="B4" s="4" t="s">
        <v>8</v>
      </c>
      <c r="C4" s="4" t="s">
        <v>9</v>
      </c>
      <c r="D4" s="1"/>
      <c r="E4" s="4" t="s">
        <v>7</v>
      </c>
      <c r="F4" s="4" t="s">
        <v>8</v>
      </c>
      <c r="G4" s="4" t="s">
        <v>9</v>
      </c>
      <c r="H4" s="1"/>
      <c r="I4" s="4" t="s">
        <v>7</v>
      </c>
      <c r="J4" s="4" t="s">
        <v>8</v>
      </c>
      <c r="K4" s="4" t="s">
        <v>9</v>
      </c>
      <c r="L4" s="1"/>
      <c r="M4" s="16" t="s">
        <v>69</v>
      </c>
      <c r="N4" s="16">
        <v>15000</v>
      </c>
      <c r="O4" s="11"/>
      <c r="P4" s="83" t="s">
        <v>11</v>
      </c>
      <c r="Q4" s="84"/>
      <c r="R4" s="79"/>
      <c r="T4" s="83" t="s">
        <v>11</v>
      </c>
      <c r="U4" s="84"/>
      <c r="V4" s="79"/>
      <c r="X4" s="83" t="s">
        <v>11</v>
      </c>
      <c r="Y4" s="84"/>
      <c r="Z4" s="79"/>
    </row>
    <row r="5" spans="1:26" x14ac:dyDescent="0.2">
      <c r="A5" s="5">
        <v>1</v>
      </c>
      <c r="B5" s="20">
        <v>0</v>
      </c>
      <c r="C5" s="20">
        <v>0</v>
      </c>
      <c r="D5" s="11" t="s">
        <v>21</v>
      </c>
      <c r="E5" s="5">
        <v>1</v>
      </c>
      <c r="F5" s="20">
        <v>21050</v>
      </c>
      <c r="G5" s="20">
        <v>15713</v>
      </c>
      <c r="H5" s="7"/>
      <c r="I5" s="5">
        <v>1</v>
      </c>
      <c r="J5" s="20">
        <v>24000</v>
      </c>
      <c r="K5" s="20">
        <v>0</v>
      </c>
      <c r="L5" s="1"/>
      <c r="M5" s="4" t="s">
        <v>12</v>
      </c>
      <c r="N5" s="20">
        <v>18000</v>
      </c>
      <c r="O5" s="1"/>
      <c r="P5" s="4" t="s">
        <v>13</v>
      </c>
      <c r="Q5" s="4" t="s">
        <v>14</v>
      </c>
      <c r="R5" s="4" t="s">
        <v>6</v>
      </c>
      <c r="T5" s="4" t="s">
        <v>13</v>
      </c>
      <c r="U5" s="4" t="s">
        <v>14</v>
      </c>
      <c r="V5" s="4" t="s">
        <v>6</v>
      </c>
      <c r="X5" s="4" t="s">
        <v>13</v>
      </c>
      <c r="Y5" s="4" t="s">
        <v>14</v>
      </c>
      <c r="Z5" s="4" t="s">
        <v>6</v>
      </c>
    </row>
    <row r="6" spans="1:26" x14ac:dyDescent="0.2">
      <c r="A6" s="5">
        <v>2</v>
      </c>
      <c r="B6" s="20">
        <v>0</v>
      </c>
      <c r="C6" s="20">
        <v>0</v>
      </c>
      <c r="D6" s="29" t="s">
        <v>21</v>
      </c>
      <c r="E6" s="5">
        <v>2</v>
      </c>
      <c r="F6" s="20">
        <v>19218</v>
      </c>
      <c r="G6" s="20">
        <v>5922</v>
      </c>
      <c r="H6" s="7"/>
      <c r="I6" s="5">
        <v>2</v>
      </c>
      <c r="J6" s="20">
        <v>1500</v>
      </c>
      <c r="K6" s="20">
        <v>0</v>
      </c>
      <c r="L6" s="1"/>
      <c r="M6" s="4" t="s">
        <v>15</v>
      </c>
      <c r="N6" s="20">
        <v>15000</v>
      </c>
      <c r="O6" s="1"/>
      <c r="P6" s="23">
        <v>44562</v>
      </c>
      <c r="Q6" s="24" t="s">
        <v>25</v>
      </c>
      <c r="R6" s="22">
        <v>5000</v>
      </c>
      <c r="T6" s="18">
        <v>44575</v>
      </c>
      <c r="U6" s="19" t="s">
        <v>25</v>
      </c>
      <c r="V6" s="20">
        <v>5000</v>
      </c>
      <c r="X6" s="18">
        <v>44589</v>
      </c>
      <c r="Y6" s="19" t="s">
        <v>17</v>
      </c>
      <c r="Z6" s="20">
        <v>1500</v>
      </c>
    </row>
    <row r="7" spans="1:26" x14ac:dyDescent="0.2">
      <c r="A7" s="5">
        <v>3</v>
      </c>
      <c r="B7" s="20">
        <v>14801</v>
      </c>
      <c r="C7" s="20">
        <v>0</v>
      </c>
      <c r="D7" s="7"/>
      <c r="E7" s="5">
        <v>3</v>
      </c>
      <c r="F7" s="20">
        <v>23795</v>
      </c>
      <c r="G7" s="20">
        <v>15108</v>
      </c>
      <c r="H7" s="7"/>
      <c r="I7" s="5">
        <v>3</v>
      </c>
      <c r="J7" s="20">
        <v>0</v>
      </c>
      <c r="K7" s="20">
        <v>0</v>
      </c>
      <c r="L7" s="1"/>
      <c r="M7" s="4" t="s">
        <v>19</v>
      </c>
      <c r="N7" s="20">
        <v>15000</v>
      </c>
      <c r="O7" s="1"/>
      <c r="P7" s="30">
        <v>44564</v>
      </c>
      <c r="Q7" s="24" t="s">
        <v>32</v>
      </c>
      <c r="R7" s="24">
        <v>1000</v>
      </c>
      <c r="T7" s="21">
        <v>44577</v>
      </c>
      <c r="U7" s="19" t="s">
        <v>23</v>
      </c>
      <c r="V7" s="19">
        <v>3000</v>
      </c>
      <c r="X7" s="21">
        <v>44591</v>
      </c>
      <c r="Y7" s="19" t="s">
        <v>32</v>
      </c>
      <c r="Z7" s="19">
        <v>1500</v>
      </c>
    </row>
    <row r="8" spans="1:26" x14ac:dyDescent="0.2">
      <c r="A8" s="5">
        <v>4</v>
      </c>
      <c r="B8" s="19">
        <v>7945</v>
      </c>
      <c r="C8" s="19">
        <v>11972</v>
      </c>
      <c r="D8" s="11"/>
      <c r="E8" s="5">
        <v>4</v>
      </c>
      <c r="F8" s="19">
        <v>21271</v>
      </c>
      <c r="G8" s="19">
        <v>5760</v>
      </c>
      <c r="H8" s="11"/>
      <c r="I8" s="5">
        <v>4</v>
      </c>
      <c r="J8" s="19">
        <v>0</v>
      </c>
      <c r="K8" s="19">
        <v>0</v>
      </c>
      <c r="L8" s="1"/>
      <c r="M8" s="4" t="s">
        <v>22</v>
      </c>
      <c r="N8" s="20">
        <v>13000</v>
      </c>
      <c r="O8" s="1"/>
      <c r="P8" s="21">
        <v>44567</v>
      </c>
      <c r="Q8" s="19" t="s">
        <v>32</v>
      </c>
      <c r="R8" s="19">
        <v>3000</v>
      </c>
      <c r="T8" s="21">
        <v>44581</v>
      </c>
      <c r="U8" s="19" t="s">
        <v>32</v>
      </c>
      <c r="V8" s="19">
        <v>1500</v>
      </c>
      <c r="X8" s="21"/>
      <c r="Y8" s="19"/>
      <c r="Z8" s="19"/>
    </row>
    <row r="9" spans="1:26" x14ac:dyDescent="0.2">
      <c r="A9" s="5">
        <v>5</v>
      </c>
      <c r="B9" s="19">
        <v>4175</v>
      </c>
      <c r="C9" s="19">
        <f>2403+6236+9792</f>
        <v>18431</v>
      </c>
      <c r="D9" s="11"/>
      <c r="E9" s="5">
        <v>5</v>
      </c>
      <c r="F9" s="19">
        <v>22936</v>
      </c>
      <c r="G9" s="19">
        <v>3916</v>
      </c>
      <c r="H9" s="11"/>
      <c r="I9" s="5">
        <v>5</v>
      </c>
      <c r="J9" s="19">
        <v>4700</v>
      </c>
      <c r="K9" s="19">
        <v>0</v>
      </c>
      <c r="L9" s="1"/>
      <c r="M9" s="4" t="s">
        <v>24</v>
      </c>
      <c r="N9" s="20">
        <v>7000</v>
      </c>
      <c r="O9" s="1"/>
      <c r="P9" s="21">
        <v>44569</v>
      </c>
      <c r="Q9" s="19" t="s">
        <v>23</v>
      </c>
      <c r="R9" s="19">
        <v>1500</v>
      </c>
      <c r="T9" s="21">
        <v>44581</v>
      </c>
      <c r="U9" s="19" t="s">
        <v>17</v>
      </c>
      <c r="V9" s="19">
        <v>1500</v>
      </c>
      <c r="X9" s="21"/>
      <c r="Y9" s="19"/>
      <c r="Z9" s="19"/>
    </row>
    <row r="10" spans="1:26" x14ac:dyDescent="0.2">
      <c r="A10" s="5">
        <v>6</v>
      </c>
      <c r="B10" s="19">
        <v>2470</v>
      </c>
      <c r="C10" s="19">
        <v>7669</v>
      </c>
      <c r="D10" s="11"/>
      <c r="E10" s="5">
        <v>6</v>
      </c>
      <c r="F10" s="19">
        <v>27724</v>
      </c>
      <c r="G10" s="19">
        <v>5213</v>
      </c>
      <c r="H10" s="11"/>
      <c r="I10" s="5">
        <v>6</v>
      </c>
      <c r="J10" s="19">
        <v>13300</v>
      </c>
      <c r="K10" s="19">
        <v>0</v>
      </c>
      <c r="L10" s="1"/>
      <c r="M10" s="4" t="s">
        <v>26</v>
      </c>
      <c r="N10" s="20">
        <v>18000</v>
      </c>
      <c r="O10" s="1"/>
      <c r="P10" s="21">
        <v>44569</v>
      </c>
      <c r="Q10" s="19" t="s">
        <v>77</v>
      </c>
      <c r="R10" s="19">
        <v>3000</v>
      </c>
      <c r="T10" s="21">
        <v>44582</v>
      </c>
      <c r="U10" s="19" t="s">
        <v>72</v>
      </c>
      <c r="V10" s="19">
        <v>3500</v>
      </c>
      <c r="X10" s="21"/>
      <c r="Y10" s="19"/>
      <c r="Z10" s="19"/>
    </row>
    <row r="11" spans="1:26" x14ac:dyDescent="0.2">
      <c r="A11" s="5">
        <v>7</v>
      </c>
      <c r="B11" s="19">
        <v>2660</v>
      </c>
      <c r="C11" s="19">
        <v>0</v>
      </c>
      <c r="D11" s="11"/>
      <c r="E11" s="5">
        <v>7</v>
      </c>
      <c r="F11" s="19">
        <v>23945</v>
      </c>
      <c r="G11" s="19">
        <v>8859</v>
      </c>
      <c r="H11" s="11"/>
      <c r="I11" s="5">
        <v>7</v>
      </c>
      <c r="J11" s="19">
        <v>8200</v>
      </c>
      <c r="K11" s="19">
        <v>0</v>
      </c>
      <c r="L11" s="1"/>
      <c r="M11" s="4" t="s">
        <v>29</v>
      </c>
      <c r="N11" s="20">
        <v>12000</v>
      </c>
      <c r="O11" s="1"/>
      <c r="P11" s="21">
        <v>44571</v>
      </c>
      <c r="Q11" s="19" t="s">
        <v>32</v>
      </c>
      <c r="R11" s="19">
        <v>2500</v>
      </c>
      <c r="T11" s="21">
        <v>44584</v>
      </c>
      <c r="U11" s="19" t="s">
        <v>92</v>
      </c>
      <c r="V11" s="19">
        <v>5000</v>
      </c>
      <c r="X11" s="21"/>
      <c r="Y11" s="19"/>
      <c r="Z11" s="19"/>
    </row>
    <row r="12" spans="1:26" x14ac:dyDescent="0.2">
      <c r="A12" s="5">
        <v>8</v>
      </c>
      <c r="B12" s="19">
        <v>5104</v>
      </c>
      <c r="C12" s="19">
        <v>8484</v>
      </c>
      <c r="D12" s="11"/>
      <c r="E12" s="5">
        <v>8</v>
      </c>
      <c r="F12" s="19">
        <v>29565</v>
      </c>
      <c r="G12" s="19">
        <v>10038</v>
      </c>
      <c r="H12" s="11"/>
      <c r="I12" s="5">
        <v>8</v>
      </c>
      <c r="J12" s="19">
        <v>0</v>
      </c>
      <c r="K12" s="19">
        <v>0</v>
      </c>
      <c r="L12" s="11"/>
      <c r="M12" s="19" t="s">
        <v>74</v>
      </c>
      <c r="N12" s="20">
        <v>11000</v>
      </c>
      <c r="O12" s="1"/>
      <c r="P12" s="21">
        <v>44573</v>
      </c>
      <c r="Q12" s="19" t="s">
        <v>17</v>
      </c>
      <c r="R12" s="19">
        <v>3000</v>
      </c>
      <c r="T12" s="21">
        <v>44585</v>
      </c>
      <c r="U12" s="19" t="s">
        <v>17</v>
      </c>
      <c r="V12" s="19">
        <v>500</v>
      </c>
      <c r="X12" s="21"/>
      <c r="Y12" s="19"/>
      <c r="Z12" s="19"/>
    </row>
    <row r="13" spans="1:26" x14ac:dyDescent="0.2">
      <c r="A13" s="5">
        <v>9</v>
      </c>
      <c r="B13" s="19">
        <v>2180</v>
      </c>
      <c r="C13" s="19">
        <v>0</v>
      </c>
      <c r="D13" s="11"/>
      <c r="E13" s="5">
        <v>9</v>
      </c>
      <c r="F13" s="19">
        <v>20785</v>
      </c>
      <c r="G13" s="19">
        <v>8003</v>
      </c>
      <c r="H13" s="11"/>
      <c r="I13" s="5">
        <v>9</v>
      </c>
      <c r="J13" s="19">
        <f>6000+1161</f>
        <v>7161</v>
      </c>
      <c r="K13" s="19">
        <v>0</v>
      </c>
      <c r="L13" s="11" t="s">
        <v>93</v>
      </c>
      <c r="M13" s="19" t="s">
        <v>87</v>
      </c>
      <c r="N13" s="19">
        <v>12000</v>
      </c>
      <c r="O13" s="11"/>
      <c r="P13" s="21">
        <v>44573</v>
      </c>
      <c r="Q13" s="19" t="s">
        <v>23</v>
      </c>
      <c r="R13" s="19">
        <v>2000</v>
      </c>
      <c r="T13" s="21">
        <v>44585</v>
      </c>
      <c r="U13" s="19" t="s">
        <v>23</v>
      </c>
      <c r="V13" s="19">
        <v>3500</v>
      </c>
      <c r="X13" s="21"/>
      <c r="Y13" s="19"/>
      <c r="Z13" s="19"/>
    </row>
    <row r="14" spans="1:26" x14ac:dyDescent="0.2">
      <c r="A14" s="5">
        <v>10</v>
      </c>
      <c r="B14" s="19">
        <v>0</v>
      </c>
      <c r="C14" s="19">
        <v>0</v>
      </c>
      <c r="D14" s="11" t="s">
        <v>21</v>
      </c>
      <c r="E14" s="5">
        <v>10</v>
      </c>
      <c r="F14" s="19">
        <v>10164</v>
      </c>
      <c r="G14" s="19">
        <v>4255</v>
      </c>
      <c r="H14" s="11"/>
      <c r="I14" s="5">
        <v>10</v>
      </c>
      <c r="J14" s="19">
        <v>18200</v>
      </c>
      <c r="K14" s="19">
        <v>0</v>
      </c>
      <c r="L14" s="1"/>
      <c r="M14" s="19" t="s">
        <v>77</v>
      </c>
      <c r="N14" s="19">
        <v>12000</v>
      </c>
      <c r="O14" s="11"/>
      <c r="P14" s="21">
        <v>44574</v>
      </c>
      <c r="Q14" s="19" t="s">
        <v>77</v>
      </c>
      <c r="R14" s="19">
        <v>3000</v>
      </c>
      <c r="T14" s="21">
        <v>44586</v>
      </c>
      <c r="U14" s="19" t="s">
        <v>32</v>
      </c>
      <c r="V14" s="19">
        <v>1000</v>
      </c>
      <c r="X14" s="21"/>
      <c r="Y14" s="19"/>
      <c r="Z14" s="19"/>
    </row>
    <row r="15" spans="1:26" x14ac:dyDescent="0.2">
      <c r="A15" s="5">
        <v>11</v>
      </c>
      <c r="B15" s="19">
        <v>1965</v>
      </c>
      <c r="C15" s="19">
        <f>3277+1006</f>
        <v>4283</v>
      </c>
      <c r="D15" s="11"/>
      <c r="E15" s="5">
        <v>11</v>
      </c>
      <c r="F15" s="19">
        <v>19925</v>
      </c>
      <c r="G15" s="19">
        <v>9330</v>
      </c>
      <c r="H15" s="11"/>
      <c r="I15" s="5">
        <v>11</v>
      </c>
      <c r="J15" s="19">
        <v>22500</v>
      </c>
      <c r="K15" s="19">
        <v>0</v>
      </c>
      <c r="L15" s="1"/>
      <c r="M15" s="12" t="s">
        <v>79</v>
      </c>
      <c r="N15" s="13">
        <f>SUM(N4:N14)</f>
        <v>148000</v>
      </c>
      <c r="O15" s="1"/>
      <c r="P15" s="21">
        <v>44575</v>
      </c>
      <c r="Q15" s="19" t="s">
        <v>32</v>
      </c>
      <c r="R15" s="19">
        <v>3000</v>
      </c>
      <c r="T15" s="21">
        <v>44588</v>
      </c>
      <c r="U15" s="19" t="s">
        <v>17</v>
      </c>
      <c r="V15" s="19">
        <v>2000</v>
      </c>
      <c r="X15" s="21"/>
      <c r="Y15" s="19"/>
      <c r="Z15" s="19"/>
    </row>
    <row r="16" spans="1:26" x14ac:dyDescent="0.2">
      <c r="A16" s="5">
        <v>12</v>
      </c>
      <c r="B16" s="19">
        <v>6300</v>
      </c>
      <c r="C16" s="19">
        <v>2533</v>
      </c>
      <c r="D16" s="11"/>
      <c r="E16" s="5">
        <v>12</v>
      </c>
      <c r="F16" s="19">
        <v>18790</v>
      </c>
      <c r="G16" s="19">
        <v>5180</v>
      </c>
      <c r="H16" s="11"/>
      <c r="I16" s="5">
        <v>12</v>
      </c>
      <c r="J16" s="19">
        <v>1200</v>
      </c>
      <c r="K16" s="19">
        <v>0</v>
      </c>
      <c r="L16" s="1"/>
      <c r="M16" s="25"/>
      <c r="N16" s="6"/>
      <c r="O16" s="1"/>
      <c r="P16" s="1"/>
      <c r="Q16" s="1"/>
      <c r="R16" s="1"/>
    </row>
    <row r="17" spans="1:24" x14ac:dyDescent="0.2">
      <c r="A17" s="5">
        <v>13</v>
      </c>
      <c r="B17" s="19">
        <v>5870</v>
      </c>
      <c r="C17" s="19">
        <v>5641</v>
      </c>
      <c r="D17" s="11"/>
      <c r="E17" s="5">
        <v>13</v>
      </c>
      <c r="F17" s="19">
        <v>13555</v>
      </c>
      <c r="G17" s="19">
        <v>25595</v>
      </c>
      <c r="H17" s="11"/>
      <c r="I17" s="5">
        <v>13</v>
      </c>
      <c r="J17" s="19">
        <v>26200</v>
      </c>
      <c r="K17" s="19">
        <v>0</v>
      </c>
      <c r="L17" s="1"/>
      <c r="M17" s="78" t="s">
        <v>37</v>
      </c>
      <c r="N17" s="79"/>
      <c r="O17" s="1"/>
      <c r="P17" s="80" t="s">
        <v>38</v>
      </c>
      <c r="Q17" s="79"/>
      <c r="R17" s="1"/>
      <c r="U17" s="31" t="s">
        <v>5</v>
      </c>
      <c r="V17" s="32" t="s">
        <v>6</v>
      </c>
      <c r="W17" s="16" t="s">
        <v>83</v>
      </c>
      <c r="X17" s="33" t="s">
        <v>94</v>
      </c>
    </row>
    <row r="18" spans="1:24" x14ac:dyDescent="0.2">
      <c r="A18" s="5">
        <v>14</v>
      </c>
      <c r="B18" s="19">
        <v>11630</v>
      </c>
      <c r="C18" s="19">
        <v>8451</v>
      </c>
      <c r="D18" s="11"/>
      <c r="E18" s="5">
        <v>14</v>
      </c>
      <c r="F18" s="19">
        <v>30283</v>
      </c>
      <c r="G18" s="19">
        <v>5671</v>
      </c>
      <c r="H18" s="11"/>
      <c r="I18" s="5">
        <v>14</v>
      </c>
      <c r="J18" s="19">
        <v>46800</v>
      </c>
      <c r="K18" s="19">
        <v>0</v>
      </c>
      <c r="L18" s="1"/>
      <c r="M18" s="2" t="s">
        <v>39</v>
      </c>
      <c r="N18" s="3" t="s">
        <v>6</v>
      </c>
      <c r="O18" s="1"/>
      <c r="P18" s="2" t="s">
        <v>5</v>
      </c>
      <c r="Q18" s="3" t="s">
        <v>6</v>
      </c>
      <c r="R18" s="1"/>
      <c r="U18" s="34" t="s">
        <v>69</v>
      </c>
      <c r="V18" s="35">
        <v>15000</v>
      </c>
      <c r="W18" s="16">
        <v>0</v>
      </c>
      <c r="X18" s="33">
        <v>15000</v>
      </c>
    </row>
    <row r="19" spans="1:24" x14ac:dyDescent="0.2">
      <c r="A19" s="5">
        <v>15</v>
      </c>
      <c r="B19" s="19">
        <v>11130</v>
      </c>
      <c r="C19" s="19">
        <v>2476</v>
      </c>
      <c r="D19" s="11"/>
      <c r="E19" s="5">
        <v>15</v>
      </c>
      <c r="F19" s="19">
        <v>20449</v>
      </c>
      <c r="G19" s="19">
        <v>7160</v>
      </c>
      <c r="H19" s="11"/>
      <c r="I19" s="5">
        <v>15</v>
      </c>
      <c r="J19" s="19">
        <v>700</v>
      </c>
      <c r="K19" s="19">
        <v>0</v>
      </c>
      <c r="L19" s="1"/>
      <c r="M19" s="4" t="s">
        <v>41</v>
      </c>
      <c r="N19" s="20">
        <v>50000</v>
      </c>
      <c r="O19" s="1"/>
      <c r="P19" s="4" t="s">
        <v>42</v>
      </c>
      <c r="Q19" s="5">
        <f>B35+F35+J35</f>
        <v>1063158</v>
      </c>
      <c r="R19" s="1"/>
      <c r="U19" s="34" t="s">
        <v>12</v>
      </c>
      <c r="V19" s="35">
        <v>18000</v>
      </c>
      <c r="W19" s="16">
        <v>0</v>
      </c>
      <c r="X19" s="33">
        <v>18000</v>
      </c>
    </row>
    <row r="20" spans="1:24" x14ac:dyDescent="0.2">
      <c r="A20" s="5">
        <v>16</v>
      </c>
      <c r="B20" s="19">
        <v>12615</v>
      </c>
      <c r="C20" s="19">
        <v>5193</v>
      </c>
      <c r="D20" s="11"/>
      <c r="E20" s="5">
        <v>16</v>
      </c>
      <c r="F20" s="19">
        <v>27415</v>
      </c>
      <c r="G20" s="19">
        <v>10835</v>
      </c>
      <c r="H20" s="11"/>
      <c r="I20" s="5">
        <v>16</v>
      </c>
      <c r="J20" s="19">
        <v>5200</v>
      </c>
      <c r="K20" s="19">
        <v>0</v>
      </c>
      <c r="L20" s="11"/>
      <c r="M20" s="4" t="s">
        <v>43</v>
      </c>
      <c r="N20" s="19">
        <v>30919</v>
      </c>
      <c r="O20" s="1"/>
      <c r="P20" s="4" t="s">
        <v>44</v>
      </c>
      <c r="Q20" s="5">
        <f>C35+G35+K35+N15+N30+N55</f>
        <v>648568</v>
      </c>
      <c r="R20" s="1"/>
      <c r="U20" s="34" t="s">
        <v>15</v>
      </c>
      <c r="V20" s="35">
        <v>15000</v>
      </c>
      <c r="W20" s="16">
        <v>8500</v>
      </c>
      <c r="X20" s="33">
        <v>6500</v>
      </c>
    </row>
    <row r="21" spans="1:24" x14ac:dyDescent="0.2">
      <c r="A21" s="5">
        <v>17</v>
      </c>
      <c r="B21" s="19">
        <v>0</v>
      </c>
      <c r="C21" s="19">
        <v>0</v>
      </c>
      <c r="D21" s="11" t="s">
        <v>21</v>
      </c>
      <c r="E21" s="5">
        <v>17</v>
      </c>
      <c r="F21" s="19">
        <v>8689</v>
      </c>
      <c r="G21" s="19">
        <v>6733</v>
      </c>
      <c r="H21" s="11"/>
      <c r="I21" s="5">
        <v>17</v>
      </c>
      <c r="J21" s="19">
        <v>2600</v>
      </c>
      <c r="K21" s="19">
        <v>0</v>
      </c>
      <c r="L21" s="1"/>
      <c r="M21" s="4" t="s">
        <v>46</v>
      </c>
      <c r="N21" s="5">
        <v>2500</v>
      </c>
      <c r="O21" s="1"/>
      <c r="P21" s="26" t="s">
        <v>47</v>
      </c>
      <c r="Q21" s="27">
        <f>Q19-Q20</f>
        <v>414590</v>
      </c>
      <c r="R21" s="1"/>
      <c r="U21" s="34" t="s">
        <v>19</v>
      </c>
      <c r="V21" s="35">
        <v>15000</v>
      </c>
      <c r="W21" s="16">
        <v>12500</v>
      </c>
      <c r="X21" s="33">
        <v>2500</v>
      </c>
    </row>
    <row r="22" spans="1:24" x14ac:dyDescent="0.2">
      <c r="A22" s="5">
        <v>18</v>
      </c>
      <c r="B22" s="19">
        <v>10125</v>
      </c>
      <c r="C22" s="19">
        <v>3171</v>
      </c>
      <c r="D22" s="11"/>
      <c r="E22" s="5">
        <v>18</v>
      </c>
      <c r="F22" s="19">
        <v>8110</v>
      </c>
      <c r="G22" s="19">
        <v>18783</v>
      </c>
      <c r="H22" s="11"/>
      <c r="I22" s="5">
        <v>18</v>
      </c>
      <c r="J22" s="19">
        <v>15500</v>
      </c>
      <c r="K22" s="19">
        <v>0</v>
      </c>
      <c r="L22" s="1"/>
      <c r="M22" s="4"/>
      <c r="N22" s="19"/>
      <c r="O22" s="1"/>
      <c r="P22" s="4" t="s">
        <v>49</v>
      </c>
      <c r="Q22" s="20">
        <v>35000</v>
      </c>
      <c r="R22" s="1"/>
      <c r="U22" s="34" t="s">
        <v>22</v>
      </c>
      <c r="V22" s="35">
        <v>13000</v>
      </c>
      <c r="W22" s="16">
        <v>12000</v>
      </c>
      <c r="X22" s="33">
        <v>1000</v>
      </c>
    </row>
    <row r="23" spans="1:24" x14ac:dyDescent="0.2">
      <c r="A23" s="5">
        <v>19</v>
      </c>
      <c r="B23" s="19">
        <v>4270</v>
      </c>
      <c r="C23" s="19">
        <v>5225</v>
      </c>
      <c r="D23" s="11"/>
      <c r="E23" s="5">
        <v>19</v>
      </c>
      <c r="F23" s="19">
        <v>24510</v>
      </c>
      <c r="G23" s="19">
        <v>14453</v>
      </c>
      <c r="H23" s="11"/>
      <c r="I23" s="5">
        <v>19</v>
      </c>
      <c r="J23" s="19">
        <v>800</v>
      </c>
      <c r="K23" s="19">
        <v>0</v>
      </c>
      <c r="L23" s="1"/>
      <c r="M23" s="4" t="s">
        <v>50</v>
      </c>
      <c r="N23" s="5">
        <v>1690</v>
      </c>
      <c r="O23" s="1"/>
      <c r="P23" s="1"/>
      <c r="Q23" s="1"/>
      <c r="R23" s="1"/>
      <c r="U23" s="34" t="s">
        <v>24</v>
      </c>
      <c r="V23" s="35">
        <v>7000</v>
      </c>
      <c r="W23" s="16">
        <v>0</v>
      </c>
      <c r="X23" s="33">
        <v>7000</v>
      </c>
    </row>
    <row r="24" spans="1:24" x14ac:dyDescent="0.2">
      <c r="A24" s="5">
        <v>20</v>
      </c>
      <c r="B24" s="19">
        <v>14590</v>
      </c>
      <c r="C24" s="19">
        <f>3570+239+5376</f>
        <v>9185</v>
      </c>
      <c r="D24" s="11"/>
      <c r="E24" s="5">
        <v>20</v>
      </c>
      <c r="F24" s="19">
        <v>15940</v>
      </c>
      <c r="G24" s="19">
        <v>5224</v>
      </c>
      <c r="H24" s="11"/>
      <c r="I24" s="5">
        <v>20</v>
      </c>
      <c r="J24" s="19">
        <v>5300</v>
      </c>
      <c r="K24" s="19">
        <v>0</v>
      </c>
      <c r="L24" s="1"/>
      <c r="M24" s="4" t="s">
        <v>51</v>
      </c>
      <c r="N24" s="20">
        <v>5000</v>
      </c>
      <c r="O24" s="1"/>
      <c r="P24" s="1"/>
      <c r="Q24" s="1"/>
      <c r="R24" s="1"/>
      <c r="U24" s="34" t="s">
        <v>26</v>
      </c>
      <c r="V24" s="35">
        <v>18000</v>
      </c>
      <c r="W24" s="16">
        <v>15000</v>
      </c>
      <c r="X24" s="33">
        <v>3000</v>
      </c>
    </row>
    <row r="25" spans="1:24" x14ac:dyDescent="0.2">
      <c r="A25" s="5">
        <v>21</v>
      </c>
      <c r="B25" s="19">
        <v>5526</v>
      </c>
      <c r="C25" s="19">
        <v>12938</v>
      </c>
      <c r="D25" s="11"/>
      <c r="E25" s="5">
        <v>21</v>
      </c>
      <c r="F25" s="19">
        <v>8470</v>
      </c>
      <c r="G25" s="19">
        <v>3187</v>
      </c>
      <c r="H25" s="11"/>
      <c r="I25" s="5">
        <v>21</v>
      </c>
      <c r="J25" s="19">
        <v>13500</v>
      </c>
      <c r="K25" s="19">
        <v>0</v>
      </c>
      <c r="L25" s="11"/>
      <c r="M25" s="19" t="s">
        <v>89</v>
      </c>
      <c r="N25" s="4"/>
      <c r="O25" s="1"/>
      <c r="P25" s="1"/>
      <c r="Q25" s="1"/>
      <c r="R25" s="1"/>
      <c r="U25" s="34" t="s">
        <v>29</v>
      </c>
      <c r="V25" s="35">
        <v>12000</v>
      </c>
      <c r="W25" s="16">
        <v>0</v>
      </c>
      <c r="X25" s="33">
        <v>12000</v>
      </c>
    </row>
    <row r="26" spans="1:24" x14ac:dyDescent="0.2">
      <c r="A26" s="5">
        <v>22</v>
      </c>
      <c r="B26" s="19">
        <v>3390</v>
      </c>
      <c r="C26" s="19">
        <v>3864</v>
      </c>
      <c r="D26" s="11"/>
      <c r="E26" s="5">
        <v>22</v>
      </c>
      <c r="F26" s="19">
        <v>14075</v>
      </c>
      <c r="G26" s="19">
        <v>8401</v>
      </c>
      <c r="H26" s="11"/>
      <c r="I26" s="5">
        <v>22</v>
      </c>
      <c r="J26" s="19">
        <v>7700</v>
      </c>
      <c r="K26" s="19">
        <v>0</v>
      </c>
      <c r="L26" s="1"/>
      <c r="M26" s="4"/>
      <c r="N26" s="4"/>
      <c r="O26" s="1"/>
      <c r="P26" s="1"/>
      <c r="Q26" s="1"/>
      <c r="R26" s="1"/>
      <c r="U26" s="36" t="s">
        <v>74</v>
      </c>
      <c r="V26" s="37">
        <v>11000</v>
      </c>
      <c r="W26" s="16">
        <v>0</v>
      </c>
      <c r="X26" s="33">
        <v>11000</v>
      </c>
    </row>
    <row r="27" spans="1:24" x14ac:dyDescent="0.2">
      <c r="A27" s="5">
        <v>23</v>
      </c>
      <c r="B27" s="19">
        <v>17095</v>
      </c>
      <c r="C27" s="19">
        <v>0</v>
      </c>
      <c r="D27" s="11"/>
      <c r="E27" s="5">
        <v>23</v>
      </c>
      <c r="F27" s="19">
        <v>11700</v>
      </c>
      <c r="G27" s="19">
        <v>3274</v>
      </c>
      <c r="H27" s="11"/>
      <c r="I27" s="5">
        <v>23</v>
      </c>
      <c r="J27" s="19">
        <v>18700</v>
      </c>
      <c r="K27" s="19">
        <v>0</v>
      </c>
      <c r="L27" s="1"/>
      <c r="M27" s="4"/>
      <c r="N27" s="4"/>
      <c r="O27" s="1"/>
      <c r="P27" s="1"/>
      <c r="Q27" s="1"/>
      <c r="R27" s="1"/>
      <c r="U27" s="36" t="s">
        <v>87</v>
      </c>
      <c r="V27" s="37">
        <v>12000</v>
      </c>
      <c r="W27" s="16">
        <v>0</v>
      </c>
      <c r="X27" s="33">
        <v>12000</v>
      </c>
    </row>
    <row r="28" spans="1:24" x14ac:dyDescent="0.2">
      <c r="A28" s="5">
        <v>24</v>
      </c>
      <c r="B28" s="19">
        <v>0</v>
      </c>
      <c r="C28" s="19">
        <v>0</v>
      </c>
      <c r="D28" s="11" t="s">
        <v>21</v>
      </c>
      <c r="E28" s="5">
        <v>24</v>
      </c>
      <c r="F28" s="19">
        <v>8880</v>
      </c>
      <c r="G28" s="19">
        <v>1689</v>
      </c>
      <c r="H28" s="11"/>
      <c r="I28" s="5">
        <v>24</v>
      </c>
      <c r="J28" s="19">
        <v>0</v>
      </c>
      <c r="K28" s="19">
        <v>0</v>
      </c>
      <c r="L28" s="1"/>
      <c r="M28" s="4"/>
      <c r="N28" s="4"/>
      <c r="O28" s="1"/>
      <c r="P28" s="1"/>
      <c r="Q28" s="1"/>
      <c r="R28" s="1"/>
      <c r="U28" s="36" t="s">
        <v>77</v>
      </c>
      <c r="V28" s="37">
        <v>12000</v>
      </c>
      <c r="W28" s="16">
        <v>9500</v>
      </c>
      <c r="X28" s="33">
        <v>2500</v>
      </c>
    </row>
    <row r="29" spans="1:24" x14ac:dyDescent="0.2">
      <c r="A29" s="5">
        <v>25</v>
      </c>
      <c r="B29" s="19">
        <v>3754</v>
      </c>
      <c r="C29" s="19">
        <v>5360</v>
      </c>
      <c r="D29" s="11"/>
      <c r="E29" s="5">
        <v>25</v>
      </c>
      <c r="F29" s="19">
        <v>14880</v>
      </c>
      <c r="G29" s="19">
        <v>3193</v>
      </c>
      <c r="H29" s="11"/>
      <c r="I29" s="5">
        <v>25</v>
      </c>
      <c r="J29" s="19">
        <v>0</v>
      </c>
      <c r="K29" s="19">
        <v>0</v>
      </c>
      <c r="L29" s="1"/>
      <c r="M29" s="4"/>
      <c r="N29" s="4"/>
      <c r="O29" s="1"/>
      <c r="P29" s="1"/>
      <c r="Q29" s="1"/>
      <c r="R29" s="1"/>
      <c r="U29" s="38" t="s">
        <v>95</v>
      </c>
      <c r="V29" s="39">
        <v>14000</v>
      </c>
      <c r="W29" s="16">
        <v>0</v>
      </c>
      <c r="X29" s="33">
        <v>14000</v>
      </c>
    </row>
    <row r="30" spans="1:24" x14ac:dyDescent="0.2">
      <c r="A30" s="5">
        <v>26</v>
      </c>
      <c r="B30" s="19">
        <v>5104</v>
      </c>
      <c r="C30" s="19">
        <v>4224</v>
      </c>
      <c r="D30" s="11"/>
      <c r="E30" s="5">
        <v>26</v>
      </c>
      <c r="F30" s="19">
        <v>19295</v>
      </c>
      <c r="G30" s="19">
        <v>14461</v>
      </c>
      <c r="H30" s="11"/>
      <c r="I30" s="5">
        <v>26</v>
      </c>
      <c r="J30" s="19">
        <v>5000</v>
      </c>
      <c r="K30" s="19">
        <v>0</v>
      </c>
      <c r="L30" s="1"/>
      <c r="M30" s="12" t="s">
        <v>36</v>
      </c>
      <c r="N30" s="13">
        <f>SUM(N19:N29)</f>
        <v>90109</v>
      </c>
      <c r="O30" s="1"/>
      <c r="P30" s="1"/>
      <c r="Q30" s="1"/>
      <c r="R30" s="1"/>
      <c r="U30" s="40"/>
      <c r="V30" s="40"/>
    </row>
    <row r="31" spans="1:24" x14ac:dyDescent="0.2">
      <c r="A31" s="5">
        <v>27</v>
      </c>
      <c r="B31" s="19">
        <v>5050</v>
      </c>
      <c r="C31" s="19">
        <v>7696</v>
      </c>
      <c r="D31" s="11"/>
      <c r="E31" s="5">
        <v>27</v>
      </c>
      <c r="F31" s="19">
        <v>8745</v>
      </c>
      <c r="G31" s="19">
        <v>4081</v>
      </c>
      <c r="H31" s="11"/>
      <c r="I31" s="5">
        <v>27</v>
      </c>
      <c r="J31" s="19">
        <v>7000</v>
      </c>
      <c r="K31" s="19">
        <v>0</v>
      </c>
      <c r="L31" s="1"/>
      <c r="M31" s="1"/>
      <c r="N31" s="1"/>
      <c r="O31" s="1"/>
      <c r="P31" s="1"/>
      <c r="Q31" s="1"/>
      <c r="R31" s="1"/>
    </row>
    <row r="32" spans="1:24" x14ac:dyDescent="0.2">
      <c r="A32" s="5">
        <v>28</v>
      </c>
      <c r="B32" s="19">
        <v>5330</v>
      </c>
      <c r="C32" s="19">
        <v>970</v>
      </c>
      <c r="D32" s="11"/>
      <c r="E32" s="5">
        <v>28</v>
      </c>
      <c r="F32" s="19">
        <v>15039</v>
      </c>
      <c r="G32" s="19">
        <v>6487</v>
      </c>
      <c r="H32" s="1"/>
      <c r="I32" s="5">
        <v>28</v>
      </c>
      <c r="J32" s="19">
        <v>2500</v>
      </c>
      <c r="K32" s="19">
        <v>0</v>
      </c>
      <c r="L32" s="1"/>
      <c r="M32" s="81" t="s">
        <v>53</v>
      </c>
      <c r="N32" s="79"/>
      <c r="O32" s="1"/>
      <c r="P32" s="1"/>
      <c r="Q32" s="1"/>
      <c r="R32" s="1"/>
    </row>
    <row r="33" spans="1:18" x14ac:dyDescent="0.2">
      <c r="A33" s="5">
        <v>29</v>
      </c>
      <c r="B33" s="19">
        <v>4200</v>
      </c>
      <c r="C33" s="19">
        <v>4536</v>
      </c>
      <c r="D33" s="1"/>
      <c r="E33" s="5">
        <v>29</v>
      </c>
      <c r="F33" s="19">
        <v>22790</v>
      </c>
      <c r="G33" s="19">
        <v>4674</v>
      </c>
      <c r="H33" s="1"/>
      <c r="I33" s="5">
        <v>29</v>
      </c>
      <c r="J33" s="19">
        <v>22500</v>
      </c>
      <c r="K33" s="19">
        <v>0</v>
      </c>
      <c r="L33" s="1"/>
      <c r="M33" s="2" t="s">
        <v>39</v>
      </c>
      <c r="N33" s="3" t="s">
        <v>6</v>
      </c>
      <c r="O33" s="1"/>
      <c r="P33" s="1"/>
      <c r="Q33" s="1"/>
      <c r="R33" s="1"/>
    </row>
    <row r="34" spans="1:18" x14ac:dyDescent="0.2">
      <c r="A34" s="5">
        <v>30</v>
      </c>
      <c r="B34" s="19">
        <v>4590</v>
      </c>
      <c r="C34" s="19">
        <v>1245</v>
      </c>
      <c r="D34" s="11"/>
      <c r="E34" s="5">
        <v>30</v>
      </c>
      <c r="F34" s="19">
        <v>18577</v>
      </c>
      <c r="G34" s="19">
        <v>14704</v>
      </c>
      <c r="H34" s="1"/>
      <c r="I34" s="5">
        <v>30</v>
      </c>
      <c r="J34" s="19">
        <v>22000</v>
      </c>
      <c r="K34" s="19">
        <v>0</v>
      </c>
      <c r="L34" s="1"/>
      <c r="M34" s="19" t="s">
        <v>96</v>
      </c>
      <c r="N34" s="19">
        <v>14000</v>
      </c>
      <c r="O34" s="28"/>
      <c r="P34" s="1"/>
      <c r="Q34" s="1"/>
      <c r="R34" s="1"/>
    </row>
    <row r="35" spans="1:18" x14ac:dyDescent="0.2">
      <c r="A35" s="12" t="s">
        <v>36</v>
      </c>
      <c r="B35" s="13">
        <f t="shared" ref="B35:C35" si="0">SUM(B5:B34)+B37</f>
        <v>171869</v>
      </c>
      <c r="C35" s="13">
        <f t="shared" si="0"/>
        <v>133547</v>
      </c>
      <c r="D35" s="1"/>
      <c r="E35" s="12" t="s">
        <v>36</v>
      </c>
      <c r="F35" s="13">
        <f t="shared" ref="F35:G35" si="1">SUM(F5:F34)+F37</f>
        <v>569706</v>
      </c>
      <c r="G35" s="13">
        <f t="shared" si="1"/>
        <v>262912</v>
      </c>
      <c r="H35" s="1"/>
      <c r="I35" s="12" t="s">
        <v>36</v>
      </c>
      <c r="J35" s="13">
        <f t="shared" ref="J35:K35" si="2">SUM(J5:J34)+J37</f>
        <v>321583</v>
      </c>
      <c r="K35" s="13">
        <f t="shared" si="2"/>
        <v>0</v>
      </c>
      <c r="L35" s="1"/>
      <c r="M35" s="19"/>
      <c r="N35" s="19"/>
      <c r="O35" s="1"/>
      <c r="P35" s="1"/>
      <c r="Q35" s="1"/>
      <c r="R35" s="1"/>
    </row>
    <row r="36" spans="1:18" x14ac:dyDescent="0.2">
      <c r="A36" s="3" t="s">
        <v>56</v>
      </c>
      <c r="B36" s="82">
        <f>B35-C35</f>
        <v>38322</v>
      </c>
      <c r="C36" s="79"/>
      <c r="D36" s="1"/>
      <c r="E36" s="3" t="s">
        <v>56</v>
      </c>
      <c r="F36" s="82">
        <f>F35-G35</f>
        <v>306794</v>
      </c>
      <c r="G36" s="79"/>
      <c r="H36" s="1"/>
      <c r="I36" s="3" t="s">
        <v>56</v>
      </c>
      <c r="J36" s="82">
        <f>J35-K35</f>
        <v>321583</v>
      </c>
      <c r="K36" s="79"/>
      <c r="L36" s="1"/>
      <c r="M36" s="4"/>
      <c r="N36" s="4"/>
      <c r="O36" s="1"/>
      <c r="P36" s="1"/>
      <c r="Q36" s="1"/>
      <c r="R36" s="1"/>
    </row>
    <row r="37" spans="1:18" x14ac:dyDescent="0.2">
      <c r="A37" s="5">
        <v>31</v>
      </c>
      <c r="B37" s="19">
        <v>0</v>
      </c>
      <c r="C37" s="19">
        <v>0</v>
      </c>
      <c r="D37" s="11" t="s">
        <v>21</v>
      </c>
      <c r="E37" s="5">
        <v>31</v>
      </c>
      <c r="F37" s="19">
        <v>19136</v>
      </c>
      <c r="G37" s="19">
        <v>7010</v>
      </c>
      <c r="H37" s="1"/>
      <c r="I37" s="5">
        <v>31</v>
      </c>
      <c r="J37" s="19">
        <f>16500+2322</f>
        <v>18822</v>
      </c>
      <c r="K37" s="19">
        <v>0</v>
      </c>
      <c r="L37" s="1"/>
      <c r="M37" s="4"/>
      <c r="N37" s="4"/>
      <c r="O37" s="1"/>
      <c r="P37" s="1"/>
      <c r="Q37" s="1"/>
      <c r="R37" s="1"/>
    </row>
    <row r="38" spans="1:1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4"/>
      <c r="N38" s="14"/>
      <c r="O38" s="1"/>
      <c r="P38" s="1"/>
      <c r="Q38" s="1"/>
      <c r="R38" s="1"/>
    </row>
    <row r="39" spans="1:1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4"/>
      <c r="N39" s="4"/>
      <c r="O39" s="1"/>
      <c r="P39" s="1"/>
      <c r="Q39" s="1"/>
      <c r="R39" s="1"/>
    </row>
    <row r="40" spans="1:1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"/>
      <c r="N40" s="4"/>
      <c r="O40" s="1"/>
      <c r="P40" s="1"/>
      <c r="Q40" s="1"/>
      <c r="R40" s="1"/>
    </row>
    <row r="41" spans="1:1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4"/>
      <c r="N41" s="4"/>
      <c r="O41" s="1"/>
      <c r="P41" s="1"/>
      <c r="Q41" s="1"/>
      <c r="R41" s="1"/>
    </row>
    <row r="42" spans="1:1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4"/>
      <c r="N42" s="4"/>
      <c r="O42" s="1"/>
      <c r="P42" s="1"/>
      <c r="Q42" s="1"/>
      <c r="R42" s="1"/>
    </row>
    <row r="43" spans="1:1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"/>
      <c r="N43" s="4"/>
      <c r="O43" s="1"/>
      <c r="P43" s="1"/>
      <c r="Q43" s="1"/>
      <c r="R43" s="1"/>
    </row>
    <row r="44" spans="1:18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4"/>
      <c r="N44" s="4"/>
      <c r="O44" s="1"/>
      <c r="P44" s="1"/>
      <c r="Q44" s="1"/>
      <c r="R44" s="1"/>
    </row>
    <row r="45" spans="1:18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4"/>
      <c r="N45" s="4"/>
      <c r="O45" s="1"/>
      <c r="P45" s="1"/>
      <c r="Q45" s="1"/>
      <c r="R45" s="1"/>
    </row>
    <row r="46" spans="1:1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4"/>
      <c r="N46" s="4"/>
      <c r="O46" s="1"/>
      <c r="P46" s="1"/>
      <c r="Q46" s="1"/>
      <c r="R46" s="1"/>
    </row>
    <row r="47" spans="1:18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4"/>
      <c r="N47" s="4"/>
      <c r="O47" s="1"/>
      <c r="P47" s="1"/>
      <c r="Q47" s="1"/>
      <c r="R47" s="1"/>
    </row>
    <row r="48" spans="1:18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4"/>
      <c r="N48" s="4"/>
      <c r="O48" s="1"/>
      <c r="P48" s="1"/>
      <c r="Q48" s="1"/>
      <c r="R48" s="1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"/>
      <c r="N49" s="4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4"/>
      <c r="N50" s="4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4"/>
      <c r="N51" s="4"/>
      <c r="O51" s="1"/>
      <c r="P51" s="1"/>
      <c r="Q51" s="1"/>
      <c r="R51" s="1"/>
    </row>
    <row r="52" spans="1:18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4"/>
      <c r="O52" s="1"/>
      <c r="P52" s="1"/>
      <c r="Q52" s="1"/>
      <c r="R52" s="1"/>
    </row>
    <row r="53" spans="1:18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4"/>
      <c r="O53" s="1"/>
      <c r="P53" s="1"/>
      <c r="Q53" s="1"/>
      <c r="R53" s="1"/>
    </row>
    <row r="54" spans="1:1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4"/>
      <c r="O54" s="1"/>
      <c r="P54" s="1"/>
      <c r="Q54" s="1"/>
      <c r="R54" s="1"/>
    </row>
    <row r="55" spans="1:1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 t="s">
        <v>36</v>
      </c>
      <c r="N55" s="5">
        <f>SUM(N34:N54)</f>
        <v>14000</v>
      </c>
      <c r="O55" s="1"/>
      <c r="P55" s="1"/>
      <c r="Q55" s="1"/>
      <c r="R55" s="1"/>
    </row>
  </sheetData>
  <mergeCells count="14">
    <mergeCell ref="T4:V4"/>
    <mergeCell ref="X4:Z4"/>
    <mergeCell ref="A1:P1"/>
    <mergeCell ref="A3:C3"/>
    <mergeCell ref="E3:G3"/>
    <mergeCell ref="I3:K3"/>
    <mergeCell ref="P4:R4"/>
    <mergeCell ref="M2:N2"/>
    <mergeCell ref="M17:N17"/>
    <mergeCell ref="P17:Q17"/>
    <mergeCell ref="M32:N32"/>
    <mergeCell ref="B36:C36"/>
    <mergeCell ref="F36:G36"/>
    <mergeCell ref="J36:K36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55"/>
  <sheetViews>
    <sheetView workbookViewId="0">
      <selection activeCell="G11" sqref="G11"/>
    </sheetView>
  </sheetViews>
  <sheetFormatPr defaultColWidth="12.5703125" defaultRowHeight="15.75" customHeight="1" x14ac:dyDescent="0.2"/>
  <cols>
    <col min="1" max="1" width="5.42578125" customWidth="1"/>
    <col min="2" max="2" width="6.42578125" customWidth="1"/>
    <col min="3" max="3" width="6.5703125" customWidth="1"/>
    <col min="4" max="4" width="2.85546875" customWidth="1"/>
    <col min="5" max="5" width="6.28515625" customWidth="1"/>
    <col min="6" max="6" width="6.42578125" customWidth="1"/>
    <col min="7" max="7" width="6.5703125" customWidth="1"/>
    <col min="8" max="8" width="5.42578125" customWidth="1"/>
    <col min="9" max="9" width="6.28515625" customWidth="1"/>
    <col min="10" max="10" width="6.42578125" customWidth="1"/>
    <col min="11" max="11" width="6.5703125" customWidth="1"/>
    <col min="12" max="12" width="5.5703125" customWidth="1"/>
    <col min="13" max="13" width="12.5703125" customWidth="1"/>
    <col min="14" max="14" width="6.7109375" customWidth="1"/>
    <col min="15" max="15" width="5.28515625" customWidth="1"/>
    <col min="16" max="16" width="12.140625" customWidth="1"/>
    <col min="17" max="17" width="7.42578125" customWidth="1"/>
    <col min="18" max="18" width="6.7109375" customWidth="1"/>
    <col min="19" max="19" width="6.85546875" customWidth="1"/>
    <col min="20" max="20" width="8" customWidth="1"/>
    <col min="21" max="21" width="7.5703125" customWidth="1"/>
    <col min="22" max="22" width="6.7109375" customWidth="1"/>
    <col min="23" max="23" width="6.42578125" customWidth="1"/>
    <col min="24" max="24" width="9.7109375" customWidth="1"/>
    <col min="25" max="25" width="7.5703125" customWidth="1"/>
    <col min="26" max="26" width="6.7109375" customWidth="1"/>
  </cols>
  <sheetData>
    <row r="1" spans="1:26" x14ac:dyDescent="0.2">
      <c r="A1" s="80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79"/>
      <c r="Q1" s="1"/>
      <c r="R1" s="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5" t="s">
        <v>1</v>
      </c>
      <c r="N2" s="79"/>
      <c r="O2" s="1"/>
      <c r="P2" s="1"/>
      <c r="Q2" s="1"/>
      <c r="R2" s="1"/>
    </row>
    <row r="3" spans="1:26" x14ac:dyDescent="0.2">
      <c r="A3" s="86" t="s">
        <v>2</v>
      </c>
      <c r="B3" s="84"/>
      <c r="C3" s="79"/>
      <c r="D3" s="1"/>
      <c r="E3" s="87" t="s">
        <v>3</v>
      </c>
      <c r="F3" s="84"/>
      <c r="G3" s="79"/>
      <c r="H3" s="1"/>
      <c r="I3" s="88" t="s">
        <v>4</v>
      </c>
      <c r="J3" s="84"/>
      <c r="K3" s="79"/>
      <c r="L3" s="1"/>
      <c r="M3" s="2" t="s">
        <v>5</v>
      </c>
      <c r="N3" s="3" t="s">
        <v>6</v>
      </c>
      <c r="O3" s="1"/>
      <c r="P3" s="1"/>
      <c r="Q3" s="1"/>
      <c r="R3" s="1"/>
    </row>
    <row r="4" spans="1:26" x14ac:dyDescent="0.2">
      <c r="A4" s="4" t="s">
        <v>7</v>
      </c>
      <c r="B4" s="4" t="s">
        <v>8</v>
      </c>
      <c r="C4" s="4" t="s">
        <v>9</v>
      </c>
      <c r="D4" s="1"/>
      <c r="E4" s="4" t="s">
        <v>7</v>
      </c>
      <c r="F4" s="4" t="s">
        <v>8</v>
      </c>
      <c r="G4" s="4" t="s">
        <v>9</v>
      </c>
      <c r="H4" s="1"/>
      <c r="I4" s="4" t="s">
        <v>7</v>
      </c>
      <c r="J4" s="4" t="s">
        <v>8</v>
      </c>
      <c r="K4" s="4" t="s">
        <v>9</v>
      </c>
      <c r="L4" s="1"/>
      <c r="M4" s="16" t="s">
        <v>69</v>
      </c>
      <c r="N4" s="16">
        <v>14000</v>
      </c>
      <c r="O4" s="11"/>
      <c r="P4" s="83" t="s">
        <v>11</v>
      </c>
      <c r="Q4" s="84"/>
      <c r="R4" s="79"/>
      <c r="T4" s="83" t="s">
        <v>11</v>
      </c>
      <c r="U4" s="84"/>
      <c r="V4" s="79"/>
      <c r="X4" s="83" t="s">
        <v>11</v>
      </c>
      <c r="Y4" s="84"/>
      <c r="Z4" s="79"/>
    </row>
    <row r="5" spans="1:26" x14ac:dyDescent="0.2">
      <c r="A5" s="5">
        <v>1</v>
      </c>
      <c r="B5" s="20">
        <v>8390</v>
      </c>
      <c r="C5" s="20">
        <v>5149</v>
      </c>
      <c r="D5" s="11"/>
      <c r="E5" s="5">
        <v>1</v>
      </c>
      <c r="F5" s="20">
        <v>51532</v>
      </c>
      <c r="G5" s="20">
        <v>17451</v>
      </c>
      <c r="H5" s="7"/>
      <c r="I5" s="5">
        <v>1</v>
      </c>
      <c r="J5" s="20">
        <v>3000</v>
      </c>
      <c r="K5" s="20">
        <v>0</v>
      </c>
      <c r="L5" s="1"/>
      <c r="M5" s="4" t="s">
        <v>12</v>
      </c>
      <c r="N5" s="20">
        <v>17000</v>
      </c>
      <c r="O5" s="1"/>
      <c r="P5" s="4" t="s">
        <v>13</v>
      </c>
      <c r="Q5" s="4" t="s">
        <v>14</v>
      </c>
      <c r="R5" s="4" t="s">
        <v>6</v>
      </c>
      <c r="T5" s="4" t="s">
        <v>13</v>
      </c>
      <c r="U5" s="4" t="s">
        <v>14</v>
      </c>
      <c r="V5" s="4" t="s">
        <v>6</v>
      </c>
      <c r="X5" s="4" t="s">
        <v>13</v>
      </c>
      <c r="Y5" s="4" t="s">
        <v>14</v>
      </c>
      <c r="Z5" s="4" t="s">
        <v>6</v>
      </c>
    </row>
    <row r="6" spans="1:26" x14ac:dyDescent="0.2">
      <c r="A6" s="5">
        <v>2</v>
      </c>
      <c r="B6" s="20">
        <v>5815</v>
      </c>
      <c r="C6" s="20">
        <v>2230</v>
      </c>
      <c r="D6" s="29"/>
      <c r="E6" s="5">
        <v>2</v>
      </c>
      <c r="F6" s="20">
        <v>25411</v>
      </c>
      <c r="G6" s="20">
        <v>4898</v>
      </c>
      <c r="H6" s="7"/>
      <c r="I6" s="5">
        <v>2</v>
      </c>
      <c r="J6" s="20">
        <v>2200</v>
      </c>
      <c r="K6" s="20">
        <v>0</v>
      </c>
      <c r="L6" s="1"/>
      <c r="M6" s="4" t="s">
        <v>15</v>
      </c>
      <c r="N6" s="20">
        <v>14000</v>
      </c>
      <c r="O6" s="11">
        <v>14000</v>
      </c>
      <c r="P6" s="23">
        <v>44593</v>
      </c>
      <c r="Q6" s="24" t="s">
        <v>23</v>
      </c>
      <c r="R6" s="22">
        <v>2000</v>
      </c>
      <c r="T6" s="18">
        <v>44606</v>
      </c>
      <c r="U6" s="19" t="s">
        <v>25</v>
      </c>
      <c r="V6" s="20">
        <v>5000</v>
      </c>
      <c r="X6" s="18"/>
      <c r="Y6" s="19"/>
      <c r="Z6" s="20"/>
    </row>
    <row r="7" spans="1:26" x14ac:dyDescent="0.2">
      <c r="A7" s="5">
        <v>3</v>
      </c>
      <c r="B7" s="20">
        <v>2500</v>
      </c>
      <c r="C7" s="20">
        <f>438+2581+1166</f>
        <v>4185</v>
      </c>
      <c r="D7" s="7"/>
      <c r="E7" s="5">
        <v>3</v>
      </c>
      <c r="F7" s="20">
        <v>11185</v>
      </c>
      <c r="G7" s="20">
        <v>4380</v>
      </c>
      <c r="H7" s="7"/>
      <c r="I7" s="5">
        <v>3</v>
      </c>
      <c r="J7" s="20">
        <v>0</v>
      </c>
      <c r="K7" s="20">
        <v>0</v>
      </c>
      <c r="L7" s="1"/>
      <c r="M7" s="4" t="s">
        <v>19</v>
      </c>
      <c r="N7" s="20">
        <v>14000</v>
      </c>
      <c r="O7" s="11">
        <v>13000</v>
      </c>
      <c r="P7" s="21">
        <v>44593</v>
      </c>
      <c r="Q7" s="19" t="s">
        <v>17</v>
      </c>
      <c r="R7" s="19">
        <v>7000</v>
      </c>
      <c r="T7" s="21">
        <v>44606</v>
      </c>
      <c r="U7" s="19" t="s">
        <v>23</v>
      </c>
      <c r="V7" s="19">
        <v>4000</v>
      </c>
      <c r="X7" s="21"/>
      <c r="Y7" s="19"/>
      <c r="Z7" s="19"/>
    </row>
    <row r="8" spans="1:26" x14ac:dyDescent="0.2">
      <c r="A8" s="5">
        <v>4</v>
      </c>
      <c r="B8" s="19">
        <v>1820</v>
      </c>
      <c r="C8" s="19">
        <v>2471</v>
      </c>
      <c r="D8" s="11"/>
      <c r="E8" s="5">
        <v>4</v>
      </c>
      <c r="F8" s="19">
        <v>8095</v>
      </c>
      <c r="G8" s="19">
        <v>5097</v>
      </c>
      <c r="H8" s="11"/>
      <c r="I8" s="5">
        <v>4</v>
      </c>
      <c r="J8" s="19">
        <v>0</v>
      </c>
      <c r="K8" s="19">
        <v>0</v>
      </c>
      <c r="L8" s="1"/>
      <c r="M8" s="4" t="s">
        <v>22</v>
      </c>
      <c r="N8" s="20">
        <v>12000</v>
      </c>
      <c r="O8" s="11">
        <v>11000</v>
      </c>
      <c r="P8" s="21">
        <v>44599</v>
      </c>
      <c r="Q8" s="19" t="s">
        <v>32</v>
      </c>
      <c r="R8" s="19">
        <v>4000</v>
      </c>
      <c r="T8" s="21">
        <v>44609</v>
      </c>
      <c r="U8" s="19" t="s">
        <v>32</v>
      </c>
      <c r="V8" s="19">
        <v>3000</v>
      </c>
      <c r="X8" s="21"/>
      <c r="Y8" s="19"/>
      <c r="Z8" s="19"/>
    </row>
    <row r="9" spans="1:26" x14ac:dyDescent="0.2">
      <c r="A9" s="5">
        <v>5</v>
      </c>
      <c r="B9" s="19">
        <v>7780</v>
      </c>
      <c r="C9" s="19">
        <f>3599+1758</f>
        <v>5357</v>
      </c>
      <c r="D9" s="11"/>
      <c r="E9" s="5">
        <v>5</v>
      </c>
      <c r="F9" s="19">
        <v>13350</v>
      </c>
      <c r="G9" s="19">
        <v>6617</v>
      </c>
      <c r="H9" s="11"/>
      <c r="I9" s="5">
        <v>5</v>
      </c>
      <c r="J9" s="19">
        <v>5000</v>
      </c>
      <c r="K9" s="19">
        <v>0</v>
      </c>
      <c r="L9" s="1"/>
      <c r="M9" s="4" t="s">
        <v>24</v>
      </c>
      <c r="N9" s="20">
        <v>7000</v>
      </c>
      <c r="O9" s="1"/>
      <c r="P9" s="21">
        <v>44599</v>
      </c>
      <c r="Q9" s="19" t="s">
        <v>77</v>
      </c>
      <c r="R9" s="19">
        <v>4500</v>
      </c>
      <c r="T9" s="21">
        <v>44613</v>
      </c>
      <c r="U9" s="19" t="s">
        <v>22</v>
      </c>
      <c r="V9" s="19">
        <v>2000</v>
      </c>
      <c r="X9" s="21"/>
      <c r="Y9" s="19"/>
      <c r="Z9" s="19"/>
    </row>
    <row r="10" spans="1:26" x14ac:dyDescent="0.2">
      <c r="A10" s="5">
        <v>6</v>
      </c>
      <c r="B10" s="19">
        <v>5325</v>
      </c>
      <c r="C10" s="19">
        <f>147+2612</f>
        <v>2759</v>
      </c>
      <c r="D10" s="11"/>
      <c r="E10" s="5">
        <v>6</v>
      </c>
      <c r="F10" s="19">
        <v>15485</v>
      </c>
      <c r="G10" s="19">
        <v>9411</v>
      </c>
      <c r="H10" s="11"/>
      <c r="I10" s="5">
        <v>6</v>
      </c>
      <c r="J10" s="19">
        <v>500</v>
      </c>
      <c r="K10" s="19">
        <v>0</v>
      </c>
      <c r="L10" s="1"/>
      <c r="M10" s="4" t="s">
        <v>26</v>
      </c>
      <c r="N10" s="20">
        <v>18000</v>
      </c>
      <c r="O10" s="11">
        <v>16000</v>
      </c>
      <c r="P10" s="21">
        <v>44600</v>
      </c>
      <c r="Q10" s="19" t="s">
        <v>23</v>
      </c>
      <c r="R10" s="19">
        <v>2500</v>
      </c>
      <c r="T10" s="21">
        <v>44613</v>
      </c>
      <c r="U10" s="19" t="s">
        <v>15</v>
      </c>
      <c r="V10" s="19">
        <v>2000</v>
      </c>
      <c r="X10" s="21"/>
      <c r="Y10" s="19"/>
      <c r="Z10" s="19"/>
    </row>
    <row r="11" spans="1:26" x14ac:dyDescent="0.2">
      <c r="A11" s="5">
        <v>7</v>
      </c>
      <c r="B11" s="19">
        <v>0</v>
      </c>
      <c r="C11" s="19">
        <v>0</v>
      </c>
      <c r="D11" s="11" t="s">
        <v>21</v>
      </c>
      <c r="E11" s="5">
        <v>7</v>
      </c>
      <c r="F11" s="19">
        <v>17789</v>
      </c>
      <c r="G11" s="19">
        <v>8902</v>
      </c>
      <c r="H11" s="11"/>
      <c r="I11" s="5">
        <v>7</v>
      </c>
      <c r="J11" s="19">
        <v>3500</v>
      </c>
      <c r="K11" s="19">
        <v>0</v>
      </c>
      <c r="L11" s="1"/>
      <c r="M11" s="4" t="s">
        <v>29</v>
      </c>
      <c r="N11" s="20">
        <v>12000</v>
      </c>
      <c r="O11" s="1"/>
      <c r="P11" s="21">
        <v>44601</v>
      </c>
      <c r="Q11" s="19" t="s">
        <v>25</v>
      </c>
      <c r="R11" s="19">
        <v>6000</v>
      </c>
      <c r="T11" s="21">
        <v>44614</v>
      </c>
      <c r="U11" s="19" t="s">
        <v>92</v>
      </c>
      <c r="V11" s="19">
        <v>5000</v>
      </c>
      <c r="X11" s="21"/>
      <c r="Y11" s="19"/>
      <c r="Z11" s="19"/>
    </row>
    <row r="12" spans="1:26" x14ac:dyDescent="0.2">
      <c r="A12" s="5">
        <v>8</v>
      </c>
      <c r="B12" s="19">
        <v>12603</v>
      </c>
      <c r="C12" s="19">
        <v>858</v>
      </c>
      <c r="D12" s="11"/>
      <c r="E12" s="5">
        <v>8</v>
      </c>
      <c r="F12" s="19">
        <v>22094</v>
      </c>
      <c r="G12" s="19">
        <v>11398</v>
      </c>
      <c r="H12" s="11"/>
      <c r="I12" s="5">
        <v>8</v>
      </c>
      <c r="J12" s="19">
        <v>1300</v>
      </c>
      <c r="K12" s="19">
        <v>0</v>
      </c>
      <c r="L12" s="11"/>
      <c r="M12" s="19" t="s">
        <v>74</v>
      </c>
      <c r="N12" s="20">
        <v>11000</v>
      </c>
      <c r="O12" s="1"/>
      <c r="P12" s="21">
        <v>44602</v>
      </c>
      <c r="Q12" s="19" t="s">
        <v>32</v>
      </c>
      <c r="R12" s="19">
        <v>5000</v>
      </c>
      <c r="T12" s="21">
        <v>44617</v>
      </c>
      <c r="U12" s="19" t="s">
        <v>22</v>
      </c>
      <c r="V12" s="19">
        <v>2500</v>
      </c>
      <c r="X12" s="21"/>
      <c r="Y12" s="19"/>
      <c r="Z12" s="19"/>
    </row>
    <row r="13" spans="1:26" x14ac:dyDescent="0.2">
      <c r="A13" s="5">
        <v>9</v>
      </c>
      <c r="B13" s="19">
        <v>10785</v>
      </c>
      <c r="C13" s="19">
        <f>4358+3085</f>
        <v>7443</v>
      </c>
      <c r="D13" s="11"/>
      <c r="E13" s="5">
        <v>9</v>
      </c>
      <c r="F13" s="19">
        <v>25948</v>
      </c>
      <c r="G13" s="19">
        <v>11042</v>
      </c>
      <c r="H13" s="11"/>
      <c r="I13" s="5">
        <v>9</v>
      </c>
      <c r="J13" s="19">
        <v>7200</v>
      </c>
      <c r="K13" s="19">
        <v>0</v>
      </c>
      <c r="L13" s="11"/>
      <c r="M13" s="19" t="s">
        <v>87</v>
      </c>
      <c r="N13" s="19">
        <v>11000</v>
      </c>
      <c r="O13" s="11">
        <v>1000</v>
      </c>
      <c r="P13" s="21">
        <v>44603</v>
      </c>
      <c r="Q13" s="19" t="s">
        <v>17</v>
      </c>
      <c r="R13" s="19">
        <v>3500</v>
      </c>
      <c r="T13" s="21">
        <v>44619</v>
      </c>
      <c r="U13" s="19" t="s">
        <v>15</v>
      </c>
      <c r="V13" s="19">
        <v>1500</v>
      </c>
      <c r="X13" s="21"/>
      <c r="Y13" s="19"/>
      <c r="Z13" s="19"/>
    </row>
    <row r="14" spans="1:26" x14ac:dyDescent="0.2">
      <c r="A14" s="5">
        <v>10</v>
      </c>
      <c r="B14" s="19">
        <v>7065</v>
      </c>
      <c r="C14" s="19">
        <f>4428+4922</f>
        <v>9350</v>
      </c>
      <c r="D14" s="11"/>
      <c r="E14" s="5">
        <v>10</v>
      </c>
      <c r="F14" s="19">
        <v>28748</v>
      </c>
      <c r="G14" s="19">
        <v>2752</v>
      </c>
      <c r="H14" s="11"/>
      <c r="I14" s="5">
        <v>10</v>
      </c>
      <c r="J14" s="19">
        <v>4900</v>
      </c>
      <c r="K14" s="19">
        <v>0</v>
      </c>
      <c r="L14" s="1"/>
      <c r="M14" s="19" t="s">
        <v>77</v>
      </c>
      <c r="N14" s="19">
        <v>12000</v>
      </c>
      <c r="O14" s="11">
        <v>9000</v>
      </c>
      <c r="P14" s="21">
        <v>44603</v>
      </c>
      <c r="Q14" s="19" t="s">
        <v>77</v>
      </c>
      <c r="R14" s="19">
        <v>4500</v>
      </c>
      <c r="T14" s="21"/>
      <c r="U14" s="19"/>
      <c r="V14" s="19"/>
      <c r="X14" s="21"/>
      <c r="Y14" s="19"/>
      <c r="Z14" s="19"/>
    </row>
    <row r="15" spans="1:26" x14ac:dyDescent="0.2">
      <c r="A15" s="5">
        <v>11</v>
      </c>
      <c r="B15" s="19">
        <v>3345</v>
      </c>
      <c r="C15" s="19">
        <v>3101</v>
      </c>
      <c r="D15" s="11"/>
      <c r="E15" s="5">
        <v>11</v>
      </c>
      <c r="F15" s="19">
        <v>16690</v>
      </c>
      <c r="G15" s="19">
        <v>11119</v>
      </c>
      <c r="H15" s="11"/>
      <c r="I15" s="5">
        <v>11</v>
      </c>
      <c r="J15" s="19">
        <v>7000</v>
      </c>
      <c r="K15" s="19">
        <v>0</v>
      </c>
      <c r="L15" s="1"/>
      <c r="M15" s="12" t="s">
        <v>79</v>
      </c>
      <c r="N15" s="13">
        <f>SUM(N4:N14)</f>
        <v>142000</v>
      </c>
      <c r="O15" s="1">
        <f>SUM(O6:O14)</f>
        <v>64000</v>
      </c>
      <c r="P15" s="21">
        <v>44605</v>
      </c>
      <c r="Q15" s="19" t="s">
        <v>97</v>
      </c>
      <c r="R15" s="19">
        <v>1000</v>
      </c>
      <c r="T15" s="21"/>
      <c r="U15" s="19"/>
      <c r="V15" s="19"/>
      <c r="X15" s="21"/>
      <c r="Y15" s="19"/>
      <c r="Z15" s="19"/>
    </row>
    <row r="16" spans="1:26" x14ac:dyDescent="0.2">
      <c r="A16" s="5">
        <v>12</v>
      </c>
      <c r="B16" s="19">
        <v>4910</v>
      </c>
      <c r="C16" s="19">
        <v>2516</v>
      </c>
      <c r="D16" s="11"/>
      <c r="E16" s="5">
        <v>12</v>
      </c>
      <c r="F16" s="19">
        <v>20815</v>
      </c>
      <c r="G16" s="19">
        <v>18245</v>
      </c>
      <c r="H16" s="11"/>
      <c r="I16" s="5">
        <v>12</v>
      </c>
      <c r="J16" s="19">
        <v>13700</v>
      </c>
      <c r="K16" s="19">
        <v>0</v>
      </c>
      <c r="L16" s="1"/>
      <c r="M16" s="25"/>
      <c r="N16" s="6"/>
      <c r="O16" s="1"/>
      <c r="P16" s="1"/>
      <c r="Q16" s="1"/>
      <c r="R16" s="1"/>
    </row>
    <row r="17" spans="1:22" x14ac:dyDescent="0.2">
      <c r="A17" s="5">
        <v>13</v>
      </c>
      <c r="B17" s="19">
        <v>3177</v>
      </c>
      <c r="C17" s="19">
        <f>2045+3738+2526</f>
        <v>8309</v>
      </c>
      <c r="D17" s="11"/>
      <c r="E17" s="5">
        <v>13</v>
      </c>
      <c r="F17" s="19">
        <v>27764</v>
      </c>
      <c r="G17" s="19">
        <v>11008</v>
      </c>
      <c r="H17" s="11"/>
      <c r="I17" s="5">
        <v>13</v>
      </c>
      <c r="J17" s="19">
        <v>2800</v>
      </c>
      <c r="K17" s="19">
        <v>0</v>
      </c>
      <c r="L17" s="1"/>
      <c r="M17" s="78" t="s">
        <v>37</v>
      </c>
      <c r="N17" s="79"/>
      <c r="O17" s="1"/>
      <c r="P17" s="80" t="s">
        <v>38</v>
      </c>
      <c r="Q17" s="79"/>
      <c r="R17" s="1"/>
    </row>
    <row r="18" spans="1:22" x14ac:dyDescent="0.2">
      <c r="A18" s="5">
        <v>14</v>
      </c>
      <c r="B18" s="19">
        <v>0</v>
      </c>
      <c r="C18" s="19">
        <v>0</v>
      </c>
      <c r="D18" s="11" t="s">
        <v>21</v>
      </c>
      <c r="E18" s="5">
        <v>14</v>
      </c>
      <c r="F18" s="19">
        <v>13075</v>
      </c>
      <c r="G18" s="19">
        <v>12438</v>
      </c>
      <c r="H18" s="11"/>
      <c r="I18" s="5">
        <v>14</v>
      </c>
      <c r="J18" s="19">
        <v>18700</v>
      </c>
      <c r="K18" s="19">
        <v>0</v>
      </c>
      <c r="L18" s="1"/>
      <c r="M18" s="2" t="s">
        <v>39</v>
      </c>
      <c r="N18" s="3" t="s">
        <v>6</v>
      </c>
      <c r="O18" s="1"/>
      <c r="P18" s="2" t="s">
        <v>5</v>
      </c>
      <c r="Q18" s="3" t="s">
        <v>6</v>
      </c>
      <c r="R18" s="1"/>
    </row>
    <row r="19" spans="1:22" x14ac:dyDescent="0.2">
      <c r="A19" s="5">
        <v>15</v>
      </c>
      <c r="B19" s="19">
        <v>3005</v>
      </c>
      <c r="C19" s="19">
        <f>3240+737</f>
        <v>3977</v>
      </c>
      <c r="D19" s="11"/>
      <c r="E19" s="5">
        <v>15</v>
      </c>
      <c r="F19" s="19">
        <v>7962</v>
      </c>
      <c r="G19" s="19">
        <v>1400</v>
      </c>
      <c r="H19" s="11"/>
      <c r="I19" s="5">
        <v>15</v>
      </c>
      <c r="J19" s="19">
        <v>4300</v>
      </c>
      <c r="K19" s="19">
        <v>0</v>
      </c>
      <c r="L19" s="1"/>
      <c r="M19" s="4" t="s">
        <v>41</v>
      </c>
      <c r="N19" s="20">
        <v>50000</v>
      </c>
      <c r="O19" s="1"/>
      <c r="P19" s="4" t="s">
        <v>42</v>
      </c>
      <c r="Q19" s="5">
        <f>B35+F35+J35</f>
        <v>881560</v>
      </c>
      <c r="R19" s="1"/>
    </row>
    <row r="20" spans="1:22" x14ac:dyDescent="0.2">
      <c r="A20" s="5">
        <v>16</v>
      </c>
      <c r="B20" s="19">
        <v>6300</v>
      </c>
      <c r="C20" s="19">
        <v>2528</v>
      </c>
      <c r="D20" s="11"/>
      <c r="E20" s="5">
        <v>16</v>
      </c>
      <c r="F20" s="19">
        <v>26802</v>
      </c>
      <c r="G20" s="19">
        <v>3787</v>
      </c>
      <c r="H20" s="11"/>
      <c r="I20" s="5">
        <v>16</v>
      </c>
      <c r="J20" s="19">
        <v>17600</v>
      </c>
      <c r="K20" s="19">
        <v>0</v>
      </c>
      <c r="L20" s="11"/>
      <c r="M20" s="4" t="s">
        <v>43</v>
      </c>
      <c r="N20" s="19">
        <v>40152</v>
      </c>
      <c r="O20" s="1"/>
      <c r="P20" s="4" t="s">
        <v>44</v>
      </c>
      <c r="Q20" s="5">
        <f>C35+G35+K35+N15+N30+N55</f>
        <v>631138</v>
      </c>
      <c r="R20" s="1"/>
    </row>
    <row r="21" spans="1:22" x14ac:dyDescent="0.2">
      <c r="A21" s="5">
        <v>17</v>
      </c>
      <c r="B21" s="19">
        <v>7328</v>
      </c>
      <c r="C21" s="19">
        <f>5852+235</f>
        <v>6087</v>
      </c>
      <c r="D21" s="11"/>
      <c r="E21" s="5">
        <v>17</v>
      </c>
      <c r="F21" s="19">
        <v>17650</v>
      </c>
      <c r="G21" s="19">
        <v>10091</v>
      </c>
      <c r="H21" s="11"/>
      <c r="I21" s="5">
        <v>17</v>
      </c>
      <c r="J21" s="19">
        <v>5900</v>
      </c>
      <c r="K21" s="19">
        <v>0</v>
      </c>
      <c r="L21" s="1"/>
      <c r="M21" s="4" t="s">
        <v>46</v>
      </c>
      <c r="N21" s="5">
        <v>2500</v>
      </c>
      <c r="O21" s="1"/>
      <c r="P21" s="26" t="s">
        <v>47</v>
      </c>
      <c r="Q21" s="27">
        <f>Q19-Q20</f>
        <v>250422</v>
      </c>
      <c r="R21" s="1"/>
    </row>
    <row r="22" spans="1:22" x14ac:dyDescent="0.2">
      <c r="A22" s="5">
        <v>18</v>
      </c>
      <c r="B22" s="19">
        <v>9335</v>
      </c>
      <c r="C22" s="19">
        <v>3738</v>
      </c>
      <c r="D22" s="11"/>
      <c r="E22" s="5">
        <v>18</v>
      </c>
      <c r="F22" s="19">
        <v>26279</v>
      </c>
      <c r="G22" s="19">
        <v>11748</v>
      </c>
      <c r="H22" s="11"/>
      <c r="I22" s="5">
        <v>18</v>
      </c>
      <c r="J22" s="19">
        <v>2800</v>
      </c>
      <c r="K22" s="19">
        <v>0</v>
      </c>
      <c r="L22" s="1"/>
      <c r="M22" s="4"/>
      <c r="N22" s="19"/>
      <c r="O22" s="1"/>
      <c r="P22" s="4" t="s">
        <v>49</v>
      </c>
      <c r="Q22" s="20">
        <v>35000</v>
      </c>
      <c r="R22" s="1"/>
    </row>
    <row r="23" spans="1:22" x14ac:dyDescent="0.2">
      <c r="A23" s="5">
        <v>19</v>
      </c>
      <c r="B23" s="19">
        <v>2827</v>
      </c>
      <c r="C23" s="19">
        <v>1761</v>
      </c>
      <c r="D23" s="11"/>
      <c r="E23" s="5">
        <v>19</v>
      </c>
      <c r="F23" s="19">
        <v>10345</v>
      </c>
      <c r="G23" s="19">
        <v>7294</v>
      </c>
      <c r="H23" s="11"/>
      <c r="I23" s="5">
        <v>19</v>
      </c>
      <c r="J23" s="19">
        <v>500</v>
      </c>
      <c r="K23" s="19">
        <v>0</v>
      </c>
      <c r="L23" s="1"/>
      <c r="M23" s="4" t="s">
        <v>50</v>
      </c>
      <c r="N23" s="5">
        <v>1690</v>
      </c>
      <c r="O23" s="1"/>
      <c r="P23" s="1"/>
      <c r="Q23" s="1"/>
      <c r="R23" s="1"/>
    </row>
    <row r="24" spans="1:22" x14ac:dyDescent="0.2">
      <c r="A24" s="5">
        <v>20</v>
      </c>
      <c r="B24" s="19">
        <v>5149</v>
      </c>
      <c r="C24" s="19">
        <v>1060</v>
      </c>
      <c r="D24" s="11"/>
      <c r="E24" s="5">
        <v>20</v>
      </c>
      <c r="F24" s="19">
        <v>10954</v>
      </c>
      <c r="G24" s="19">
        <v>15028</v>
      </c>
      <c r="H24" s="11"/>
      <c r="I24" s="5">
        <v>20</v>
      </c>
      <c r="J24" s="19">
        <v>25600</v>
      </c>
      <c r="K24" s="19">
        <v>0</v>
      </c>
      <c r="L24" s="1"/>
      <c r="M24" s="4" t="s">
        <v>51</v>
      </c>
      <c r="N24" s="20">
        <v>5000</v>
      </c>
      <c r="O24" s="1"/>
      <c r="P24" s="1"/>
      <c r="Q24" s="1"/>
      <c r="R24" s="1"/>
    </row>
    <row r="25" spans="1:22" x14ac:dyDescent="0.2">
      <c r="A25" s="5">
        <v>21</v>
      </c>
      <c r="B25" s="19">
        <v>0</v>
      </c>
      <c r="C25" s="19">
        <v>0</v>
      </c>
      <c r="D25" s="11"/>
      <c r="E25" s="5">
        <v>21</v>
      </c>
      <c r="F25" s="19">
        <v>15570</v>
      </c>
      <c r="G25" s="19">
        <v>10301</v>
      </c>
      <c r="H25" s="11"/>
      <c r="I25" s="5">
        <v>21</v>
      </c>
      <c r="J25" s="19">
        <v>10900</v>
      </c>
      <c r="K25" s="19">
        <v>0</v>
      </c>
      <c r="L25" s="11"/>
      <c r="M25" s="19" t="s">
        <v>89</v>
      </c>
      <c r="N25" s="4"/>
      <c r="O25" s="1"/>
      <c r="P25" s="1"/>
      <c r="Q25" s="1"/>
      <c r="R25" s="1"/>
    </row>
    <row r="26" spans="1:22" x14ac:dyDescent="0.2">
      <c r="A26" s="5">
        <v>22</v>
      </c>
      <c r="B26" s="19">
        <v>4715</v>
      </c>
      <c r="C26" s="19">
        <f>724+3331</f>
        <v>4055</v>
      </c>
      <c r="D26" s="11"/>
      <c r="E26" s="5">
        <v>22</v>
      </c>
      <c r="F26" s="19">
        <v>22581</v>
      </c>
      <c r="G26" s="19">
        <v>17786</v>
      </c>
      <c r="H26" s="11"/>
      <c r="I26" s="5">
        <v>22</v>
      </c>
      <c r="J26" s="19">
        <v>15900</v>
      </c>
      <c r="K26" s="19">
        <v>0</v>
      </c>
      <c r="L26" s="1"/>
      <c r="M26" s="4"/>
      <c r="N26" s="4"/>
      <c r="O26" s="1"/>
      <c r="P26" s="1"/>
      <c r="Q26" s="1"/>
      <c r="R26" s="1"/>
      <c r="U26" s="40"/>
      <c r="V26" s="40"/>
    </row>
    <row r="27" spans="1:22" x14ac:dyDescent="0.2">
      <c r="A27" s="5">
        <v>23</v>
      </c>
      <c r="B27" s="19">
        <v>3590</v>
      </c>
      <c r="C27" s="19">
        <f>1620+3123</f>
        <v>4743</v>
      </c>
      <c r="D27" s="11"/>
      <c r="E27" s="5">
        <v>23</v>
      </c>
      <c r="F27" s="19">
        <v>17990</v>
      </c>
      <c r="G27" s="19">
        <v>7630</v>
      </c>
      <c r="H27" s="11"/>
      <c r="I27" s="5">
        <v>23</v>
      </c>
      <c r="J27" s="19">
        <v>500</v>
      </c>
      <c r="K27" s="19">
        <v>0</v>
      </c>
      <c r="L27" s="1"/>
      <c r="M27" s="4"/>
      <c r="N27" s="4"/>
      <c r="O27" s="1"/>
      <c r="P27" s="1"/>
      <c r="Q27" s="1"/>
      <c r="R27" s="1"/>
      <c r="U27" s="40"/>
      <c r="V27" s="40"/>
    </row>
    <row r="28" spans="1:22" x14ac:dyDescent="0.2">
      <c r="A28" s="5">
        <v>24</v>
      </c>
      <c r="B28" s="19">
        <v>2530</v>
      </c>
      <c r="C28" s="19">
        <v>2601</v>
      </c>
      <c r="D28" s="11"/>
      <c r="E28" s="5">
        <v>24</v>
      </c>
      <c r="F28" s="19">
        <v>16530</v>
      </c>
      <c r="G28" s="19">
        <v>8691</v>
      </c>
      <c r="H28" s="11"/>
      <c r="I28" s="5">
        <v>24</v>
      </c>
      <c r="J28" s="19">
        <v>3000</v>
      </c>
      <c r="K28" s="19">
        <v>0</v>
      </c>
      <c r="L28" s="1"/>
      <c r="M28" s="4"/>
      <c r="N28" s="4"/>
      <c r="O28" s="1"/>
      <c r="P28" s="1"/>
      <c r="Q28" s="1"/>
      <c r="R28" s="1"/>
      <c r="U28" s="40"/>
      <c r="V28" s="40"/>
    </row>
    <row r="29" spans="1:22" x14ac:dyDescent="0.2">
      <c r="A29" s="5">
        <v>25</v>
      </c>
      <c r="B29" s="19">
        <v>4420</v>
      </c>
      <c r="C29" s="19">
        <v>2674</v>
      </c>
      <c r="D29" s="11"/>
      <c r="E29" s="5">
        <v>25</v>
      </c>
      <c r="F29" s="19">
        <v>19052</v>
      </c>
      <c r="G29" s="19">
        <v>2115</v>
      </c>
      <c r="H29" s="11"/>
      <c r="I29" s="5">
        <v>25</v>
      </c>
      <c r="J29" s="19">
        <v>3800</v>
      </c>
      <c r="K29" s="19">
        <v>0</v>
      </c>
      <c r="L29" s="1"/>
      <c r="M29" s="4"/>
      <c r="N29" s="4"/>
      <c r="O29" s="1"/>
      <c r="P29" s="1"/>
      <c r="Q29" s="1"/>
      <c r="R29" s="1"/>
      <c r="U29" s="40"/>
      <c r="V29" s="40"/>
    </row>
    <row r="30" spans="1:22" x14ac:dyDescent="0.2">
      <c r="A30" s="5">
        <v>26</v>
      </c>
      <c r="B30" s="19">
        <v>8700</v>
      </c>
      <c r="C30" s="19">
        <v>2548</v>
      </c>
      <c r="D30" s="11"/>
      <c r="E30" s="5">
        <v>26</v>
      </c>
      <c r="F30" s="19">
        <v>19890</v>
      </c>
      <c r="G30" s="19">
        <v>12704</v>
      </c>
      <c r="H30" s="11"/>
      <c r="I30" s="5">
        <v>26</v>
      </c>
      <c r="J30" s="19">
        <v>13800</v>
      </c>
      <c r="K30" s="19">
        <v>0</v>
      </c>
      <c r="L30" s="1"/>
      <c r="M30" s="12" t="s">
        <v>36</v>
      </c>
      <c r="N30" s="13">
        <f>SUM(N19:N29)</f>
        <v>99342</v>
      </c>
      <c r="O30" s="1"/>
      <c r="P30" s="1"/>
      <c r="Q30" s="1"/>
      <c r="R30" s="1"/>
      <c r="U30" s="40"/>
      <c r="V30" s="40"/>
    </row>
    <row r="31" spans="1:22" x14ac:dyDescent="0.2">
      <c r="A31" s="5">
        <v>27</v>
      </c>
      <c r="B31" s="19">
        <v>6960</v>
      </c>
      <c r="C31" s="19">
        <v>2502</v>
      </c>
      <c r="D31" s="11"/>
      <c r="E31" s="5">
        <v>27</v>
      </c>
      <c r="F31" s="19">
        <v>32194</v>
      </c>
      <c r="G31" s="19">
        <v>8294</v>
      </c>
      <c r="H31" s="11"/>
      <c r="I31" s="5">
        <v>27</v>
      </c>
      <c r="J31" s="19">
        <v>2800</v>
      </c>
      <c r="K31" s="19">
        <v>0</v>
      </c>
      <c r="L31" s="1"/>
      <c r="M31" s="1"/>
      <c r="N31" s="1"/>
      <c r="O31" s="1"/>
      <c r="P31" s="1"/>
      <c r="Q31" s="1"/>
      <c r="R31" s="1"/>
    </row>
    <row r="32" spans="1:22" x14ac:dyDescent="0.2">
      <c r="A32" s="5">
        <v>28</v>
      </c>
      <c r="B32" s="19">
        <v>0</v>
      </c>
      <c r="C32" s="19">
        <v>0</v>
      </c>
      <c r="D32" s="11"/>
      <c r="E32" s="5">
        <v>28</v>
      </c>
      <c r="F32" s="19">
        <v>18606</v>
      </c>
      <c r="G32" s="19">
        <v>7080</v>
      </c>
      <c r="H32" s="1"/>
      <c r="I32" s="5">
        <v>28</v>
      </c>
      <c r="J32" s="19">
        <v>5600</v>
      </c>
      <c r="K32" s="19">
        <v>0</v>
      </c>
      <c r="L32" s="1"/>
      <c r="M32" s="81" t="s">
        <v>53</v>
      </c>
      <c r="N32" s="79"/>
      <c r="O32" s="1"/>
      <c r="P32" s="1"/>
      <c r="Q32" s="1"/>
      <c r="R32" s="1"/>
    </row>
    <row r="33" spans="1:18" x14ac:dyDescent="0.2">
      <c r="A33" s="5">
        <v>29</v>
      </c>
      <c r="B33" s="19"/>
      <c r="C33" s="19"/>
      <c r="D33" s="1"/>
      <c r="E33" s="5">
        <v>29</v>
      </c>
      <c r="F33" s="19"/>
      <c r="G33" s="19"/>
      <c r="H33" s="1"/>
      <c r="I33" s="5">
        <v>29</v>
      </c>
      <c r="J33" s="19"/>
      <c r="K33" s="19"/>
      <c r="L33" s="1"/>
      <c r="M33" s="2" t="s">
        <v>39</v>
      </c>
      <c r="N33" s="3" t="s">
        <v>6</v>
      </c>
      <c r="O33" s="1"/>
      <c r="P33" s="1"/>
      <c r="Q33" s="1"/>
      <c r="R33" s="1"/>
    </row>
    <row r="34" spans="1:18" x14ac:dyDescent="0.2">
      <c r="A34" s="5">
        <v>30</v>
      </c>
      <c r="B34" s="19"/>
      <c r="C34" s="19"/>
      <c r="D34" s="11"/>
      <c r="E34" s="5">
        <v>30</v>
      </c>
      <c r="F34" s="19"/>
      <c r="G34" s="19"/>
      <c r="H34" s="1"/>
      <c r="I34" s="5">
        <v>30</v>
      </c>
      <c r="J34" s="19"/>
      <c r="K34" s="19"/>
      <c r="L34" s="1"/>
      <c r="M34" s="19" t="s">
        <v>96</v>
      </c>
      <c r="N34" s="19">
        <v>12000</v>
      </c>
      <c r="O34" s="28"/>
      <c r="P34" s="1"/>
      <c r="Q34" s="1"/>
      <c r="R34" s="1"/>
    </row>
    <row r="35" spans="1:18" x14ac:dyDescent="0.2">
      <c r="A35" s="12" t="s">
        <v>36</v>
      </c>
      <c r="B35" s="13">
        <f t="shared" ref="B35:C35" si="0">SUM(B5:B34)+B37</f>
        <v>138374</v>
      </c>
      <c r="C35" s="13">
        <f t="shared" si="0"/>
        <v>92002</v>
      </c>
      <c r="D35" s="1"/>
      <c r="E35" s="12" t="s">
        <v>36</v>
      </c>
      <c r="F35" s="13">
        <f t="shared" ref="F35:G35" si="1">SUM(F5:F34)+F37</f>
        <v>560386</v>
      </c>
      <c r="G35" s="13">
        <f t="shared" si="1"/>
        <v>258707</v>
      </c>
      <c r="H35" s="1"/>
      <c r="I35" s="12" t="s">
        <v>36</v>
      </c>
      <c r="J35" s="13">
        <f t="shared" ref="J35:K35" si="2">SUM(J5:J34)+J37</f>
        <v>182800</v>
      </c>
      <c r="K35" s="13">
        <f t="shared" si="2"/>
        <v>0</v>
      </c>
      <c r="L35" s="1"/>
      <c r="M35" s="19" t="s">
        <v>98</v>
      </c>
      <c r="N35" s="19">
        <v>27087</v>
      </c>
      <c r="O35" s="1"/>
      <c r="P35" s="1"/>
      <c r="Q35" s="1"/>
      <c r="R35" s="1"/>
    </row>
    <row r="36" spans="1:18" x14ac:dyDescent="0.2">
      <c r="A36" s="3" t="s">
        <v>56</v>
      </c>
      <c r="B36" s="82">
        <f>B35-C35</f>
        <v>46372</v>
      </c>
      <c r="C36" s="79"/>
      <c r="D36" s="1"/>
      <c r="E36" s="3" t="s">
        <v>56</v>
      </c>
      <c r="F36" s="82">
        <f>F35-G35</f>
        <v>301679</v>
      </c>
      <c r="G36" s="79"/>
      <c r="H36" s="1"/>
      <c r="I36" s="3" t="s">
        <v>56</v>
      </c>
      <c r="J36" s="82">
        <f>J35-K35</f>
        <v>182800</v>
      </c>
      <c r="K36" s="79"/>
      <c r="L36" s="1"/>
      <c r="M36" s="4"/>
      <c r="N36" s="4"/>
      <c r="O36" s="1"/>
      <c r="P36" s="1"/>
      <c r="Q36" s="1"/>
      <c r="R36" s="1"/>
    </row>
    <row r="37" spans="1:18" x14ac:dyDescent="0.2">
      <c r="A37" s="5">
        <v>31</v>
      </c>
      <c r="B37" s="19"/>
      <c r="C37" s="19"/>
      <c r="D37" s="11"/>
      <c r="E37" s="5">
        <v>31</v>
      </c>
      <c r="F37" s="19"/>
      <c r="G37" s="19"/>
      <c r="H37" s="1"/>
      <c r="I37" s="5">
        <v>31</v>
      </c>
      <c r="J37" s="19"/>
      <c r="K37" s="19"/>
      <c r="L37" s="1"/>
      <c r="M37" s="4"/>
      <c r="N37" s="4"/>
      <c r="O37" s="1"/>
      <c r="P37" s="1"/>
      <c r="Q37" s="1"/>
      <c r="R37" s="1"/>
    </row>
    <row r="38" spans="1:1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4"/>
      <c r="N38" s="14"/>
      <c r="O38" s="1"/>
      <c r="P38" s="1"/>
      <c r="Q38" s="1"/>
      <c r="R38" s="1"/>
    </row>
    <row r="39" spans="1:1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4"/>
      <c r="N39" s="4"/>
      <c r="O39" s="1"/>
      <c r="P39" s="1"/>
      <c r="Q39" s="1"/>
      <c r="R39" s="1"/>
    </row>
    <row r="40" spans="1:1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"/>
      <c r="N40" s="4"/>
      <c r="O40" s="1"/>
      <c r="P40" s="1"/>
      <c r="Q40" s="1"/>
      <c r="R40" s="1"/>
    </row>
    <row r="41" spans="1:1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4"/>
      <c r="N41" s="4"/>
      <c r="O41" s="1"/>
      <c r="P41" s="1"/>
      <c r="Q41" s="1"/>
      <c r="R41" s="1"/>
    </row>
    <row r="42" spans="1:1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4"/>
      <c r="N42" s="4"/>
      <c r="O42" s="1"/>
      <c r="P42" s="1"/>
      <c r="Q42" s="1"/>
      <c r="R42" s="1"/>
    </row>
    <row r="43" spans="1:1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"/>
      <c r="N43" s="4"/>
      <c r="O43" s="1"/>
      <c r="P43" s="1"/>
      <c r="Q43" s="1"/>
      <c r="R43" s="1"/>
    </row>
    <row r="44" spans="1:18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4"/>
      <c r="N44" s="4"/>
      <c r="O44" s="1"/>
      <c r="P44" s="1"/>
      <c r="Q44" s="1"/>
      <c r="R44" s="1"/>
    </row>
    <row r="45" spans="1:18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4"/>
      <c r="N45" s="4"/>
      <c r="O45" s="1"/>
      <c r="P45" s="1"/>
      <c r="Q45" s="1"/>
      <c r="R45" s="1"/>
    </row>
    <row r="46" spans="1:1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4"/>
      <c r="N46" s="4"/>
      <c r="O46" s="1"/>
      <c r="P46" s="1"/>
      <c r="Q46" s="1"/>
      <c r="R46" s="1"/>
    </row>
    <row r="47" spans="1:18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4"/>
      <c r="N47" s="4"/>
      <c r="O47" s="1"/>
      <c r="P47" s="1"/>
      <c r="Q47" s="1"/>
      <c r="R47" s="1"/>
    </row>
    <row r="48" spans="1:18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4"/>
      <c r="N48" s="4"/>
      <c r="O48" s="1"/>
      <c r="P48" s="1"/>
      <c r="Q48" s="1"/>
      <c r="R48" s="1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"/>
      <c r="N49" s="4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4"/>
      <c r="N50" s="4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4"/>
      <c r="N51" s="4"/>
      <c r="O51" s="1"/>
      <c r="P51" s="1"/>
      <c r="Q51" s="1"/>
      <c r="R51" s="1"/>
    </row>
    <row r="52" spans="1:18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4"/>
      <c r="O52" s="1"/>
      <c r="P52" s="1"/>
      <c r="Q52" s="1"/>
      <c r="R52" s="1"/>
    </row>
    <row r="53" spans="1:18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4"/>
      <c r="O53" s="1"/>
      <c r="P53" s="1"/>
      <c r="Q53" s="1"/>
      <c r="R53" s="1"/>
    </row>
    <row r="54" spans="1:1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4"/>
      <c r="O54" s="1"/>
      <c r="P54" s="1"/>
      <c r="Q54" s="1"/>
      <c r="R54" s="1"/>
    </row>
    <row r="55" spans="1:1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 t="s">
        <v>36</v>
      </c>
      <c r="N55" s="5">
        <f>SUM(N34:N54)</f>
        <v>39087</v>
      </c>
      <c r="O55" s="1"/>
      <c r="P55" s="1"/>
      <c r="Q55" s="1"/>
      <c r="R55" s="1"/>
    </row>
  </sheetData>
  <mergeCells count="14">
    <mergeCell ref="T4:V4"/>
    <mergeCell ref="X4:Z4"/>
    <mergeCell ref="A1:P1"/>
    <mergeCell ref="A3:C3"/>
    <mergeCell ref="E3:G3"/>
    <mergeCell ref="I3:K3"/>
    <mergeCell ref="P4:R4"/>
    <mergeCell ref="M2:N2"/>
    <mergeCell ref="M17:N17"/>
    <mergeCell ref="P17:Q17"/>
    <mergeCell ref="M32:N32"/>
    <mergeCell ref="B36:C36"/>
    <mergeCell ref="F36:G36"/>
    <mergeCell ref="J36:K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65"/>
  <sheetViews>
    <sheetView topLeftCell="A7" workbookViewId="0">
      <selection activeCell="W55" sqref="W55"/>
    </sheetView>
  </sheetViews>
  <sheetFormatPr defaultColWidth="12.5703125" defaultRowHeight="15.75" customHeight="1" x14ac:dyDescent="0.2"/>
  <cols>
    <col min="1" max="2" width="6.42578125" customWidth="1"/>
    <col min="3" max="3" width="6.5703125" customWidth="1"/>
    <col min="4" max="4" width="5.42578125" customWidth="1"/>
    <col min="5" max="5" width="7" customWidth="1"/>
    <col min="6" max="6" width="6.42578125" customWidth="1"/>
    <col min="7" max="7" width="6.5703125" customWidth="1"/>
    <col min="8" max="8" width="5.85546875" customWidth="1"/>
    <col min="9" max="9" width="6.140625" customWidth="1"/>
    <col min="10" max="10" width="6.42578125" customWidth="1"/>
    <col min="11" max="11" width="6.5703125" customWidth="1"/>
    <col min="12" max="12" width="3.42578125" customWidth="1"/>
    <col min="13" max="13" width="12.5703125" customWidth="1"/>
    <col min="14" max="14" width="6.7109375" customWidth="1"/>
    <col min="15" max="15" width="6.42578125" customWidth="1"/>
    <col min="16" max="16" width="10.85546875" customWidth="1"/>
    <col min="17" max="17" width="7.140625" customWidth="1"/>
    <col min="18" max="18" width="6.7109375" customWidth="1"/>
    <col min="19" max="19" width="8.5703125" customWidth="1"/>
    <col min="20" max="20" width="6.28515625" customWidth="1"/>
    <col min="21" max="21" width="5.85546875" customWidth="1"/>
    <col min="22" max="22" width="6.7109375" customWidth="1"/>
    <col min="24" max="24" width="6" customWidth="1"/>
    <col min="25" max="25" width="5.85546875" customWidth="1"/>
    <col min="26" max="26" width="6.7109375" customWidth="1"/>
  </cols>
  <sheetData>
    <row r="1" spans="1:26" x14ac:dyDescent="0.2">
      <c r="A1" s="80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79"/>
      <c r="Q1" s="1"/>
      <c r="R1" s="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5" t="s">
        <v>1</v>
      </c>
      <c r="N2" s="79"/>
      <c r="O2" s="1"/>
      <c r="P2" s="1"/>
      <c r="Q2" s="1"/>
      <c r="R2" s="1"/>
    </row>
    <row r="3" spans="1:26" x14ac:dyDescent="0.2">
      <c r="A3" s="86" t="s">
        <v>2</v>
      </c>
      <c r="B3" s="84"/>
      <c r="C3" s="79"/>
      <c r="D3" s="1"/>
      <c r="E3" s="87" t="s">
        <v>3</v>
      </c>
      <c r="F3" s="84"/>
      <c r="G3" s="79"/>
      <c r="H3" s="1"/>
      <c r="I3" s="88" t="s">
        <v>4</v>
      </c>
      <c r="J3" s="84"/>
      <c r="K3" s="79"/>
      <c r="L3" s="1"/>
      <c r="M3" s="2" t="s">
        <v>5</v>
      </c>
      <c r="N3" s="3" t="s">
        <v>6</v>
      </c>
      <c r="O3" s="1"/>
      <c r="P3" s="1"/>
      <c r="Q3" s="1"/>
      <c r="R3" s="1"/>
    </row>
    <row r="4" spans="1:26" x14ac:dyDescent="0.2">
      <c r="A4" s="4" t="s">
        <v>7</v>
      </c>
      <c r="B4" s="4" t="s">
        <v>8</v>
      </c>
      <c r="C4" s="4" t="s">
        <v>9</v>
      </c>
      <c r="D4" s="1"/>
      <c r="E4" s="4" t="s">
        <v>7</v>
      </c>
      <c r="F4" s="4" t="s">
        <v>8</v>
      </c>
      <c r="G4" s="4" t="s">
        <v>9</v>
      </c>
      <c r="H4" s="1"/>
      <c r="I4" s="4" t="s">
        <v>7</v>
      </c>
      <c r="J4" s="4" t="s">
        <v>8</v>
      </c>
      <c r="K4" s="4" t="s">
        <v>9</v>
      </c>
      <c r="L4" s="1"/>
      <c r="M4" s="16" t="s">
        <v>69</v>
      </c>
      <c r="N4" s="16">
        <v>15000</v>
      </c>
      <c r="O4" s="11">
        <v>0</v>
      </c>
      <c r="P4" s="83" t="s">
        <v>11</v>
      </c>
      <c r="Q4" s="84"/>
      <c r="R4" s="79"/>
      <c r="T4" s="83" t="s">
        <v>11</v>
      </c>
      <c r="U4" s="84"/>
      <c r="V4" s="79"/>
      <c r="X4" s="83" t="s">
        <v>11</v>
      </c>
      <c r="Y4" s="84"/>
      <c r="Z4" s="79"/>
    </row>
    <row r="5" spans="1:26" x14ac:dyDescent="0.2">
      <c r="A5" s="5">
        <v>1</v>
      </c>
      <c r="B5" s="20">
        <v>2485</v>
      </c>
      <c r="C5" s="20">
        <v>4617</v>
      </c>
      <c r="D5" s="11"/>
      <c r="E5" s="5">
        <v>1</v>
      </c>
      <c r="F5" s="20">
        <v>17100</v>
      </c>
      <c r="G5" s="20">
        <v>9578</v>
      </c>
      <c r="H5" s="7"/>
      <c r="I5" s="5">
        <v>1</v>
      </c>
      <c r="J5" s="20">
        <v>19500</v>
      </c>
      <c r="K5" s="20">
        <v>0</v>
      </c>
      <c r="L5" s="1"/>
      <c r="M5" s="4" t="s">
        <v>12</v>
      </c>
      <c r="N5" s="20">
        <v>18000</v>
      </c>
      <c r="O5" s="11">
        <v>500</v>
      </c>
      <c r="P5" s="4" t="s">
        <v>13</v>
      </c>
      <c r="Q5" s="4" t="s">
        <v>14</v>
      </c>
      <c r="R5" s="4" t="s">
        <v>6</v>
      </c>
      <c r="T5" s="4" t="s">
        <v>13</v>
      </c>
      <c r="U5" s="4" t="s">
        <v>14</v>
      </c>
      <c r="V5" s="4" t="s">
        <v>6</v>
      </c>
      <c r="X5" s="4" t="s">
        <v>13</v>
      </c>
      <c r="Y5" s="4" t="s">
        <v>14</v>
      </c>
      <c r="Z5" s="4" t="s">
        <v>6</v>
      </c>
    </row>
    <row r="6" spans="1:26" x14ac:dyDescent="0.2">
      <c r="A6" s="5">
        <v>2</v>
      </c>
      <c r="B6" s="20">
        <v>4814</v>
      </c>
      <c r="C6" s="20">
        <f>891+5722</f>
        <v>6613</v>
      </c>
      <c r="D6" s="29"/>
      <c r="E6" s="5">
        <v>2</v>
      </c>
      <c r="F6" s="20">
        <v>12710</v>
      </c>
      <c r="G6" s="20">
        <v>4865</v>
      </c>
      <c r="H6" s="7"/>
      <c r="I6" s="5">
        <v>2</v>
      </c>
      <c r="J6" s="20">
        <v>2800</v>
      </c>
      <c r="K6" s="20">
        <v>0</v>
      </c>
      <c r="L6" s="1"/>
      <c r="M6" s="4" t="s">
        <v>15</v>
      </c>
      <c r="N6" s="20">
        <v>15000</v>
      </c>
      <c r="O6" s="11">
        <v>9000</v>
      </c>
      <c r="P6" s="23">
        <v>44622</v>
      </c>
      <c r="Q6" s="24" t="s">
        <v>32</v>
      </c>
      <c r="R6" s="22">
        <v>1000</v>
      </c>
      <c r="T6" s="18">
        <v>44634</v>
      </c>
      <c r="U6" s="19" t="s">
        <v>17</v>
      </c>
      <c r="V6" s="20">
        <v>1500</v>
      </c>
      <c r="X6" s="18">
        <v>44644</v>
      </c>
      <c r="Y6" s="19" t="s">
        <v>99</v>
      </c>
      <c r="Z6" s="20">
        <v>500</v>
      </c>
    </row>
    <row r="7" spans="1:26" x14ac:dyDescent="0.2">
      <c r="A7" s="5">
        <v>3</v>
      </c>
      <c r="B7" s="20">
        <v>10460</v>
      </c>
      <c r="C7" s="20">
        <v>0</v>
      </c>
      <c r="D7" s="7"/>
      <c r="E7" s="5">
        <v>3</v>
      </c>
      <c r="F7" s="20">
        <v>19340</v>
      </c>
      <c r="G7" s="20">
        <v>4222</v>
      </c>
      <c r="H7" s="7"/>
      <c r="I7" s="5">
        <v>3</v>
      </c>
      <c r="J7" s="20">
        <v>3000</v>
      </c>
      <c r="K7" s="20">
        <v>0</v>
      </c>
      <c r="L7" s="1"/>
      <c r="M7" s="4" t="s">
        <v>19</v>
      </c>
      <c r="N7" s="20">
        <v>13000</v>
      </c>
      <c r="O7" s="11">
        <v>12000</v>
      </c>
      <c r="P7" s="21">
        <v>44625</v>
      </c>
      <c r="Q7" s="19" t="s">
        <v>17</v>
      </c>
      <c r="R7" s="19">
        <v>5000</v>
      </c>
      <c r="T7" s="21">
        <v>44636</v>
      </c>
      <c r="U7" s="19" t="s">
        <v>25</v>
      </c>
      <c r="V7" s="19">
        <v>6700</v>
      </c>
      <c r="X7" s="21">
        <v>44647</v>
      </c>
      <c r="Y7" s="19" t="s">
        <v>23</v>
      </c>
      <c r="Z7" s="19">
        <v>1500</v>
      </c>
    </row>
    <row r="8" spans="1:26" x14ac:dyDescent="0.2">
      <c r="A8" s="5">
        <v>4</v>
      </c>
      <c r="B8" s="19">
        <v>10200</v>
      </c>
      <c r="C8" s="19">
        <v>5905</v>
      </c>
      <c r="D8" s="11"/>
      <c r="E8" s="5">
        <v>4</v>
      </c>
      <c r="F8" s="19">
        <v>18099</v>
      </c>
      <c r="G8" s="19">
        <v>5218</v>
      </c>
      <c r="H8" s="11"/>
      <c r="I8" s="5">
        <v>4</v>
      </c>
      <c r="J8" s="19">
        <v>800</v>
      </c>
      <c r="K8" s="19">
        <v>0</v>
      </c>
      <c r="L8" s="1"/>
      <c r="M8" s="4" t="s">
        <v>22</v>
      </c>
      <c r="N8" s="20">
        <v>13000</v>
      </c>
      <c r="O8" s="11">
        <v>12000</v>
      </c>
      <c r="P8" s="21">
        <v>44627</v>
      </c>
      <c r="Q8" s="19" t="s">
        <v>32</v>
      </c>
      <c r="R8" s="19">
        <v>5000</v>
      </c>
      <c r="T8" s="21">
        <v>44637</v>
      </c>
      <c r="U8" s="19" t="s">
        <v>23</v>
      </c>
      <c r="V8" s="19">
        <v>3500</v>
      </c>
      <c r="X8" s="21">
        <v>44648</v>
      </c>
      <c r="Y8" s="19" t="s">
        <v>29</v>
      </c>
      <c r="Z8" s="19">
        <v>2000</v>
      </c>
    </row>
    <row r="9" spans="1:26" x14ac:dyDescent="0.2">
      <c r="A9" s="5">
        <v>5</v>
      </c>
      <c r="B9" s="19">
        <v>4799</v>
      </c>
      <c r="C9" s="19">
        <v>3274</v>
      </c>
      <c r="D9" s="11"/>
      <c r="E9" s="5">
        <v>5</v>
      </c>
      <c r="F9" s="19">
        <v>26630</v>
      </c>
      <c r="G9" s="19">
        <v>13071</v>
      </c>
      <c r="H9" s="11"/>
      <c r="I9" s="5">
        <v>5</v>
      </c>
      <c r="J9" s="19">
        <v>800</v>
      </c>
      <c r="K9" s="19">
        <v>0</v>
      </c>
      <c r="L9" s="1"/>
      <c r="M9" s="4" t="s">
        <v>24</v>
      </c>
      <c r="N9" s="20">
        <v>7000</v>
      </c>
      <c r="O9" s="11">
        <v>0</v>
      </c>
      <c r="P9" s="21">
        <v>44628</v>
      </c>
      <c r="Q9" s="19" t="s">
        <v>25</v>
      </c>
      <c r="R9" s="19">
        <v>5000</v>
      </c>
      <c r="T9" s="21">
        <v>44639</v>
      </c>
      <c r="U9" s="19" t="s">
        <v>72</v>
      </c>
      <c r="V9" s="19">
        <v>3000</v>
      </c>
      <c r="X9" s="21">
        <v>44648</v>
      </c>
      <c r="Y9" s="19" t="s">
        <v>17</v>
      </c>
      <c r="Z9" s="19">
        <v>500</v>
      </c>
    </row>
    <row r="10" spans="1:26" x14ac:dyDescent="0.2">
      <c r="A10" s="5">
        <v>6</v>
      </c>
      <c r="B10" s="19">
        <v>6120</v>
      </c>
      <c r="C10" s="19">
        <v>6544</v>
      </c>
      <c r="D10" s="11"/>
      <c r="E10" s="5">
        <v>6</v>
      </c>
      <c r="F10" s="19">
        <v>20105</v>
      </c>
      <c r="G10" s="19">
        <v>4258</v>
      </c>
      <c r="H10" s="11"/>
      <c r="I10" s="5">
        <v>6</v>
      </c>
      <c r="J10" s="19">
        <v>2300</v>
      </c>
      <c r="K10" s="19">
        <v>0</v>
      </c>
      <c r="L10" s="1"/>
      <c r="M10" s="4" t="s">
        <v>26</v>
      </c>
      <c r="N10" s="20">
        <v>18000</v>
      </c>
      <c r="O10" s="41">
        <v>19700</v>
      </c>
      <c r="P10" s="21">
        <v>44629</v>
      </c>
      <c r="Q10" s="19" t="s">
        <v>25</v>
      </c>
      <c r="R10" s="19">
        <v>10000</v>
      </c>
      <c r="S10" s="40" t="s">
        <v>100</v>
      </c>
      <c r="T10" s="21">
        <v>44639</v>
      </c>
      <c r="U10" s="19" t="s">
        <v>32</v>
      </c>
      <c r="V10" s="19">
        <v>1000</v>
      </c>
      <c r="X10" s="21">
        <v>44650</v>
      </c>
      <c r="Y10" s="19" t="s">
        <v>25</v>
      </c>
      <c r="Z10" s="19">
        <v>3000</v>
      </c>
    </row>
    <row r="11" spans="1:26" x14ac:dyDescent="0.2">
      <c r="A11" s="5">
        <v>7</v>
      </c>
      <c r="B11" s="19">
        <v>0</v>
      </c>
      <c r="C11" s="19">
        <v>0</v>
      </c>
      <c r="D11" s="11" t="s">
        <v>21</v>
      </c>
      <c r="E11" s="5">
        <v>7</v>
      </c>
      <c r="F11" s="19">
        <v>7590</v>
      </c>
      <c r="G11" s="19">
        <v>4943</v>
      </c>
      <c r="H11" s="11"/>
      <c r="I11" s="5">
        <v>7</v>
      </c>
      <c r="J11" s="19">
        <v>2800</v>
      </c>
      <c r="K11" s="19">
        <v>0</v>
      </c>
      <c r="L11" s="1"/>
      <c r="M11" s="4" t="s">
        <v>29</v>
      </c>
      <c r="N11" s="20">
        <v>12000</v>
      </c>
      <c r="O11" s="11">
        <v>2000</v>
      </c>
      <c r="P11" s="21"/>
      <c r="Q11" s="19"/>
      <c r="R11" s="19"/>
      <c r="T11" s="21">
        <v>44640</v>
      </c>
      <c r="U11" s="19" t="s">
        <v>17</v>
      </c>
      <c r="V11" s="19">
        <v>500</v>
      </c>
      <c r="X11" s="21"/>
      <c r="Y11" s="19"/>
      <c r="Z11" s="19"/>
    </row>
    <row r="12" spans="1:26" x14ac:dyDescent="0.2">
      <c r="A12" s="5">
        <v>8</v>
      </c>
      <c r="B12" s="19">
        <v>10857</v>
      </c>
      <c r="C12" s="19">
        <v>8416</v>
      </c>
      <c r="D12" s="11"/>
      <c r="E12" s="5">
        <v>8</v>
      </c>
      <c r="F12" s="19">
        <v>14605</v>
      </c>
      <c r="G12" s="19">
        <v>760</v>
      </c>
      <c r="H12" s="11"/>
      <c r="I12" s="5">
        <v>8</v>
      </c>
      <c r="J12" s="19">
        <v>2100</v>
      </c>
      <c r="K12" s="19">
        <v>0</v>
      </c>
      <c r="L12" s="11"/>
      <c r="M12" s="19" t="s">
        <v>74</v>
      </c>
      <c r="N12" s="20">
        <v>12000</v>
      </c>
      <c r="O12" s="11">
        <v>1000</v>
      </c>
      <c r="P12" s="19">
        <v>113</v>
      </c>
      <c r="Q12" s="19" t="s">
        <v>77</v>
      </c>
      <c r="R12" s="19">
        <v>4500</v>
      </c>
      <c r="T12" s="21">
        <v>44642</v>
      </c>
      <c r="U12" s="19" t="s">
        <v>23</v>
      </c>
      <c r="V12" s="19">
        <v>4000</v>
      </c>
      <c r="X12" s="21"/>
      <c r="Y12" s="19"/>
      <c r="Z12" s="19"/>
    </row>
    <row r="13" spans="1:26" x14ac:dyDescent="0.2">
      <c r="A13" s="5">
        <v>9</v>
      </c>
      <c r="B13" s="19">
        <v>6114</v>
      </c>
      <c r="C13" s="19">
        <v>5893</v>
      </c>
      <c r="D13" s="11"/>
      <c r="E13" s="5">
        <v>9</v>
      </c>
      <c r="F13" s="19">
        <v>27477</v>
      </c>
      <c r="G13" s="19">
        <v>13079</v>
      </c>
      <c r="H13" s="11"/>
      <c r="I13" s="5">
        <v>9</v>
      </c>
      <c r="J13" s="19">
        <v>1600</v>
      </c>
      <c r="K13" s="19">
        <v>0</v>
      </c>
      <c r="L13" s="11"/>
      <c r="M13" s="19" t="s">
        <v>87</v>
      </c>
      <c r="N13" s="19">
        <v>11000</v>
      </c>
      <c r="O13" s="11">
        <v>1000</v>
      </c>
      <c r="P13" s="21">
        <v>44633</v>
      </c>
      <c r="Q13" s="19" t="s">
        <v>23</v>
      </c>
      <c r="R13" s="19">
        <v>3000</v>
      </c>
      <c r="T13" s="21">
        <v>44642</v>
      </c>
      <c r="U13" s="19" t="s">
        <v>84</v>
      </c>
      <c r="V13" s="19">
        <v>1000</v>
      </c>
      <c r="X13" s="21"/>
      <c r="Y13" s="19"/>
      <c r="Z13" s="19"/>
    </row>
    <row r="14" spans="1:26" x14ac:dyDescent="0.2">
      <c r="A14" s="5">
        <v>10</v>
      </c>
      <c r="B14" s="19">
        <v>6029</v>
      </c>
      <c r="C14" s="19">
        <v>3623</v>
      </c>
      <c r="D14" s="11"/>
      <c r="E14" s="5">
        <v>10</v>
      </c>
      <c r="F14" s="19">
        <v>10895</v>
      </c>
      <c r="G14" s="19">
        <v>7339</v>
      </c>
      <c r="H14" s="11"/>
      <c r="I14" s="5">
        <v>10</v>
      </c>
      <c r="J14" s="19">
        <v>0</v>
      </c>
      <c r="K14" s="19">
        <v>0</v>
      </c>
      <c r="L14" s="1"/>
      <c r="M14" s="19" t="s">
        <v>77</v>
      </c>
      <c r="N14" s="19">
        <v>8400</v>
      </c>
      <c r="O14" s="11">
        <v>7500</v>
      </c>
      <c r="P14" s="21">
        <v>44633</v>
      </c>
      <c r="Q14" s="19" t="s">
        <v>87</v>
      </c>
      <c r="R14" s="19">
        <v>1000</v>
      </c>
      <c r="T14" s="21">
        <v>44644</v>
      </c>
      <c r="U14" s="19" t="s">
        <v>32</v>
      </c>
      <c r="V14" s="19">
        <v>2000</v>
      </c>
      <c r="X14" s="21"/>
      <c r="Y14" s="19"/>
      <c r="Z14" s="19"/>
    </row>
    <row r="15" spans="1:26" x14ac:dyDescent="0.2">
      <c r="A15" s="5">
        <v>11</v>
      </c>
      <c r="B15" s="19">
        <v>2906</v>
      </c>
      <c r="C15" s="19">
        <v>2836</v>
      </c>
      <c r="D15" s="11"/>
      <c r="E15" s="5">
        <v>11</v>
      </c>
      <c r="F15" s="19">
        <v>12119</v>
      </c>
      <c r="G15" s="19">
        <v>4573</v>
      </c>
      <c r="H15" s="11"/>
      <c r="I15" s="5">
        <v>11</v>
      </c>
      <c r="J15" s="19">
        <v>0</v>
      </c>
      <c r="K15" s="19">
        <v>0</v>
      </c>
      <c r="L15" s="1"/>
      <c r="M15" s="12" t="s">
        <v>79</v>
      </c>
      <c r="N15" s="13">
        <f t="shared" ref="N15:O15" si="0">SUM(N4:N14)</f>
        <v>142400</v>
      </c>
      <c r="O15" s="1">
        <f t="shared" si="0"/>
        <v>64700</v>
      </c>
      <c r="P15" s="21">
        <v>44634</v>
      </c>
      <c r="Q15" s="19" t="s">
        <v>32</v>
      </c>
      <c r="R15" s="19">
        <v>4000</v>
      </c>
      <c r="T15" s="21">
        <v>44644</v>
      </c>
      <c r="U15" s="19" t="s">
        <v>17</v>
      </c>
      <c r="V15" s="19">
        <v>500</v>
      </c>
      <c r="X15" s="21"/>
      <c r="Y15" s="19"/>
      <c r="Z15" s="19"/>
    </row>
    <row r="16" spans="1:26" x14ac:dyDescent="0.2">
      <c r="A16" s="5">
        <v>12</v>
      </c>
      <c r="B16" s="19">
        <v>7000</v>
      </c>
      <c r="C16" s="19">
        <v>6532</v>
      </c>
      <c r="D16" s="11"/>
      <c r="E16" s="5">
        <v>12</v>
      </c>
      <c r="F16" s="19">
        <v>21920</v>
      </c>
      <c r="G16" s="19">
        <v>17130</v>
      </c>
      <c r="H16" s="11"/>
      <c r="I16" s="5">
        <v>12</v>
      </c>
      <c r="J16" s="19">
        <v>500</v>
      </c>
      <c r="K16" s="19">
        <v>0</v>
      </c>
      <c r="L16" s="1"/>
      <c r="M16" s="25"/>
      <c r="N16" s="6"/>
      <c r="O16" s="1"/>
      <c r="P16" s="1"/>
      <c r="Q16" s="1"/>
      <c r="R16" s="1">
        <f>SUM(R7:R15)</f>
        <v>37500</v>
      </c>
      <c r="V16" s="42">
        <f>SUM(V6:V15)</f>
        <v>23700</v>
      </c>
      <c r="Z16" s="42">
        <f>SUM(Z6:Z15)</f>
        <v>7500</v>
      </c>
    </row>
    <row r="17" spans="1:26" x14ac:dyDescent="0.2">
      <c r="A17" s="5">
        <v>13</v>
      </c>
      <c r="B17" s="19">
        <v>5530</v>
      </c>
      <c r="C17" s="19">
        <v>2900</v>
      </c>
      <c r="D17" s="11"/>
      <c r="E17" s="5">
        <v>13</v>
      </c>
      <c r="F17" s="19">
        <v>18455</v>
      </c>
      <c r="G17" s="19">
        <v>10220</v>
      </c>
      <c r="H17" s="11"/>
      <c r="I17" s="5">
        <v>13</v>
      </c>
      <c r="J17" s="19">
        <v>0</v>
      </c>
      <c r="K17" s="19">
        <v>0</v>
      </c>
      <c r="L17" s="1"/>
      <c r="M17" s="78" t="s">
        <v>37</v>
      </c>
      <c r="N17" s="79"/>
      <c r="O17" s="1"/>
      <c r="P17" s="80" t="s">
        <v>38</v>
      </c>
      <c r="Q17" s="79"/>
      <c r="R17" s="1"/>
      <c r="Z17" s="42">
        <f>R16+V16+Z16</f>
        <v>68700</v>
      </c>
    </row>
    <row r="18" spans="1:26" x14ac:dyDescent="0.2">
      <c r="A18" s="5">
        <v>14</v>
      </c>
      <c r="B18" s="19">
        <v>0</v>
      </c>
      <c r="C18" s="19">
        <v>0</v>
      </c>
      <c r="D18" s="11" t="s">
        <v>21</v>
      </c>
      <c r="E18" s="5">
        <v>14</v>
      </c>
      <c r="F18" s="19">
        <v>29670</v>
      </c>
      <c r="G18" s="19">
        <v>13032</v>
      </c>
      <c r="H18" s="11"/>
      <c r="I18" s="5">
        <v>14</v>
      </c>
      <c r="J18" s="19">
        <v>0</v>
      </c>
      <c r="K18" s="19">
        <v>0</v>
      </c>
      <c r="L18" s="1"/>
      <c r="M18" s="2" t="s">
        <v>39</v>
      </c>
      <c r="N18" s="3" t="s">
        <v>6</v>
      </c>
      <c r="O18" s="1"/>
      <c r="P18" s="2" t="s">
        <v>5</v>
      </c>
      <c r="Q18" s="3" t="s">
        <v>6</v>
      </c>
      <c r="R18" s="1"/>
    </row>
    <row r="19" spans="1:26" x14ac:dyDescent="0.2">
      <c r="A19" s="5">
        <v>15</v>
      </c>
      <c r="B19" s="19">
        <v>7966</v>
      </c>
      <c r="C19" s="19">
        <v>6564</v>
      </c>
      <c r="D19" s="11"/>
      <c r="E19" s="5">
        <v>15</v>
      </c>
      <c r="F19" s="19">
        <v>24085</v>
      </c>
      <c r="G19" s="19">
        <v>16056</v>
      </c>
      <c r="H19" s="11"/>
      <c r="I19" s="5">
        <v>15</v>
      </c>
      <c r="J19" s="19">
        <v>1300</v>
      </c>
      <c r="K19" s="19">
        <v>0</v>
      </c>
      <c r="L19" s="1"/>
      <c r="M19" s="4" t="s">
        <v>41</v>
      </c>
      <c r="N19" s="20">
        <v>0</v>
      </c>
      <c r="O19" s="1"/>
      <c r="P19" s="4" t="s">
        <v>42</v>
      </c>
      <c r="Q19" s="5">
        <f>B35+F35+J35</f>
        <v>976336</v>
      </c>
      <c r="R19" s="1"/>
    </row>
    <row r="20" spans="1:26" x14ac:dyDescent="0.2">
      <c r="A20" s="5">
        <v>16</v>
      </c>
      <c r="B20" s="19">
        <v>3236</v>
      </c>
      <c r="C20" s="19">
        <f>1166+10286+2879+4936</f>
        <v>19267</v>
      </c>
      <c r="D20" s="11"/>
      <c r="E20" s="5">
        <v>16</v>
      </c>
      <c r="F20" s="19">
        <v>27520</v>
      </c>
      <c r="G20" s="19">
        <v>5423</v>
      </c>
      <c r="H20" s="11"/>
      <c r="I20" s="5">
        <v>16</v>
      </c>
      <c r="J20" s="19">
        <v>17000</v>
      </c>
      <c r="K20" s="19">
        <v>0</v>
      </c>
      <c r="L20" s="11"/>
      <c r="M20" s="4" t="s">
        <v>43</v>
      </c>
      <c r="N20" s="19">
        <v>35460</v>
      </c>
      <c r="O20" s="1"/>
      <c r="P20" s="4" t="s">
        <v>44</v>
      </c>
      <c r="Q20" s="5">
        <f>C35+G35+K35+N15+N30+N55</f>
        <v>631929</v>
      </c>
      <c r="R20" s="1"/>
    </row>
    <row r="21" spans="1:26" x14ac:dyDescent="0.2">
      <c r="A21" s="5">
        <v>17</v>
      </c>
      <c r="B21" s="19">
        <v>1950</v>
      </c>
      <c r="C21" s="19">
        <v>289</v>
      </c>
      <c r="D21" s="11"/>
      <c r="E21" s="5">
        <v>17</v>
      </c>
      <c r="F21" s="19">
        <v>28258</v>
      </c>
      <c r="G21" s="19">
        <v>9417</v>
      </c>
      <c r="H21" s="11"/>
      <c r="I21" s="5">
        <v>17</v>
      </c>
      <c r="J21" s="19">
        <v>40000</v>
      </c>
      <c r="K21" s="19">
        <v>0</v>
      </c>
      <c r="L21" s="1"/>
      <c r="M21" s="4" t="s">
        <v>46</v>
      </c>
      <c r="N21" s="5">
        <v>2500</v>
      </c>
      <c r="O21" s="1"/>
      <c r="P21" s="26" t="s">
        <v>47</v>
      </c>
      <c r="Q21" s="27">
        <f>Q19-Q20</f>
        <v>344407</v>
      </c>
      <c r="R21" s="1"/>
    </row>
    <row r="22" spans="1:26" x14ac:dyDescent="0.2">
      <c r="A22" s="5">
        <v>18</v>
      </c>
      <c r="B22" s="19">
        <v>5134</v>
      </c>
      <c r="C22" s="19">
        <v>0</v>
      </c>
      <c r="D22" s="11"/>
      <c r="E22" s="5">
        <v>18</v>
      </c>
      <c r="F22" s="19">
        <v>9215</v>
      </c>
      <c r="G22" s="19">
        <v>9237</v>
      </c>
      <c r="H22" s="11"/>
      <c r="I22" s="5">
        <v>18</v>
      </c>
      <c r="J22" s="19">
        <v>1500</v>
      </c>
      <c r="K22" s="19">
        <v>0</v>
      </c>
      <c r="L22" s="1"/>
      <c r="M22" s="4"/>
      <c r="N22" s="19"/>
      <c r="O22" s="1"/>
      <c r="P22" s="4" t="s">
        <v>49</v>
      </c>
      <c r="Q22" s="20">
        <v>35000</v>
      </c>
      <c r="R22" s="1"/>
    </row>
    <row r="23" spans="1:26" x14ac:dyDescent="0.2">
      <c r="A23" s="5">
        <v>19</v>
      </c>
      <c r="B23" s="19">
        <v>12050</v>
      </c>
      <c r="C23" s="19">
        <f>1753+2445</f>
        <v>4198</v>
      </c>
      <c r="D23" s="11"/>
      <c r="E23" s="5">
        <v>19</v>
      </c>
      <c r="F23" s="19">
        <v>21602</v>
      </c>
      <c r="G23" s="19">
        <v>3632</v>
      </c>
      <c r="H23" s="11"/>
      <c r="I23" s="5">
        <v>19</v>
      </c>
      <c r="J23" s="19">
        <v>4500</v>
      </c>
      <c r="K23" s="19">
        <v>0</v>
      </c>
      <c r="L23" s="1"/>
      <c r="M23" s="4" t="s">
        <v>50</v>
      </c>
      <c r="N23" s="5">
        <v>1690</v>
      </c>
      <c r="O23" s="1"/>
      <c r="P23" s="1"/>
      <c r="Q23" s="1"/>
      <c r="R23" s="1"/>
    </row>
    <row r="24" spans="1:26" x14ac:dyDescent="0.2">
      <c r="A24" s="5">
        <v>20</v>
      </c>
      <c r="B24" s="19">
        <v>2061</v>
      </c>
      <c r="C24" s="19">
        <v>5008</v>
      </c>
      <c r="D24" s="11"/>
      <c r="E24" s="5">
        <v>20</v>
      </c>
      <c r="F24" s="19">
        <v>30006</v>
      </c>
      <c r="G24" s="19">
        <v>10108</v>
      </c>
      <c r="H24" s="11"/>
      <c r="I24" s="5">
        <v>20</v>
      </c>
      <c r="J24" s="19">
        <v>2100</v>
      </c>
      <c r="K24" s="19">
        <v>0</v>
      </c>
      <c r="L24" s="1"/>
      <c r="M24" s="4" t="s">
        <v>51</v>
      </c>
      <c r="N24" s="20">
        <v>5000</v>
      </c>
      <c r="O24" s="1"/>
      <c r="P24" s="1"/>
      <c r="Q24" s="1"/>
      <c r="R24" s="1"/>
    </row>
    <row r="25" spans="1:26" x14ac:dyDescent="0.2">
      <c r="A25" s="5">
        <v>21</v>
      </c>
      <c r="B25" s="19">
        <v>0</v>
      </c>
      <c r="C25" s="19">
        <v>0</v>
      </c>
      <c r="D25" s="11" t="s">
        <v>21</v>
      </c>
      <c r="E25" s="5">
        <v>21</v>
      </c>
      <c r="F25" s="19">
        <v>10285</v>
      </c>
      <c r="G25" s="19">
        <v>10790</v>
      </c>
      <c r="H25" s="11"/>
      <c r="I25" s="5">
        <v>21</v>
      </c>
      <c r="J25" s="19">
        <v>9300</v>
      </c>
      <c r="K25" s="19">
        <v>0</v>
      </c>
      <c r="L25" s="11"/>
      <c r="M25" s="19" t="s">
        <v>89</v>
      </c>
      <c r="N25" s="4"/>
      <c r="O25" s="1"/>
      <c r="P25" s="1"/>
      <c r="Q25" s="1"/>
      <c r="R25" s="1"/>
    </row>
    <row r="26" spans="1:26" x14ac:dyDescent="0.2">
      <c r="A26" s="5">
        <v>22</v>
      </c>
      <c r="B26" s="19">
        <v>3070</v>
      </c>
      <c r="C26" s="19">
        <v>4548</v>
      </c>
      <c r="D26" s="11"/>
      <c r="E26" s="5">
        <v>22</v>
      </c>
      <c r="F26" s="19">
        <v>31390</v>
      </c>
      <c r="G26" s="19">
        <v>10921</v>
      </c>
      <c r="H26" s="11"/>
      <c r="I26" s="5">
        <v>22</v>
      </c>
      <c r="J26" s="19">
        <v>18100</v>
      </c>
      <c r="K26" s="19">
        <v>0</v>
      </c>
      <c r="L26" s="1"/>
      <c r="M26" s="4"/>
      <c r="N26" s="4"/>
      <c r="O26" s="1"/>
      <c r="P26" s="1"/>
      <c r="Q26" s="1"/>
      <c r="R26" s="1"/>
      <c r="U26" s="40"/>
      <c r="V26" s="40"/>
    </row>
    <row r="27" spans="1:26" x14ac:dyDescent="0.2">
      <c r="A27" s="5">
        <v>23</v>
      </c>
      <c r="B27" s="19">
        <v>5410</v>
      </c>
      <c r="C27" s="19">
        <f>1762+2215</f>
        <v>3977</v>
      </c>
      <c r="D27" s="11"/>
      <c r="E27" s="5">
        <v>23</v>
      </c>
      <c r="F27" s="19">
        <v>19720</v>
      </c>
      <c r="G27" s="19">
        <v>14404</v>
      </c>
      <c r="H27" s="11"/>
      <c r="I27" s="5">
        <v>23</v>
      </c>
      <c r="J27" s="19">
        <v>2300</v>
      </c>
      <c r="K27" s="19">
        <v>0</v>
      </c>
      <c r="L27" s="1"/>
      <c r="M27" s="4"/>
      <c r="N27" s="4"/>
      <c r="O27" s="1"/>
      <c r="P27" s="1"/>
      <c r="Q27" s="1"/>
      <c r="R27" s="1"/>
      <c r="U27" s="40"/>
      <c r="V27" s="40"/>
    </row>
    <row r="28" spans="1:26" x14ac:dyDescent="0.2">
      <c r="A28" s="5">
        <v>24</v>
      </c>
      <c r="B28" s="19">
        <v>4400</v>
      </c>
      <c r="C28" s="19">
        <f>3152+2094</f>
        <v>5246</v>
      </c>
      <c r="D28" s="11"/>
      <c r="E28" s="5">
        <v>24</v>
      </c>
      <c r="F28" s="19">
        <v>24630</v>
      </c>
      <c r="G28" s="19">
        <v>12464</v>
      </c>
      <c r="H28" s="11"/>
      <c r="I28" s="5">
        <v>24</v>
      </c>
      <c r="J28" s="19">
        <v>2700</v>
      </c>
      <c r="K28" s="19">
        <v>0</v>
      </c>
      <c r="L28" s="1"/>
      <c r="M28" s="4"/>
      <c r="N28" s="4"/>
      <c r="O28" s="1"/>
      <c r="P28" s="43" t="s">
        <v>101</v>
      </c>
      <c r="Q28" s="43">
        <v>60000</v>
      </c>
      <c r="R28" s="1"/>
      <c r="U28" s="44">
        <v>0.5</v>
      </c>
      <c r="V28" s="40">
        <f>Q21/2</f>
        <v>172203.5</v>
      </c>
    </row>
    <row r="29" spans="1:26" x14ac:dyDescent="0.2">
      <c r="A29" s="5">
        <v>25</v>
      </c>
      <c r="B29" s="19">
        <v>8850</v>
      </c>
      <c r="C29" s="19">
        <v>625</v>
      </c>
      <c r="D29" s="11"/>
      <c r="E29" s="5">
        <v>25</v>
      </c>
      <c r="F29" s="19">
        <v>23775</v>
      </c>
      <c r="G29" s="19">
        <v>14164</v>
      </c>
      <c r="H29" s="11"/>
      <c r="I29" s="5">
        <v>25</v>
      </c>
      <c r="J29" s="19">
        <v>8900</v>
      </c>
      <c r="K29" s="19">
        <v>0</v>
      </c>
      <c r="L29" s="1"/>
      <c r="M29" s="4"/>
      <c r="N29" s="4"/>
      <c r="O29" s="1"/>
      <c r="P29" s="1"/>
      <c r="Q29" s="1"/>
      <c r="R29" s="1"/>
      <c r="U29" s="40"/>
      <c r="V29" s="40"/>
    </row>
    <row r="30" spans="1:26" x14ac:dyDescent="0.2">
      <c r="A30" s="5">
        <v>26</v>
      </c>
      <c r="B30" s="19">
        <v>3640</v>
      </c>
      <c r="C30" s="19">
        <v>3180</v>
      </c>
      <c r="D30" s="11"/>
      <c r="E30" s="5">
        <v>26</v>
      </c>
      <c r="F30" s="19">
        <v>24385</v>
      </c>
      <c r="G30" s="19">
        <v>18705</v>
      </c>
      <c r="H30" s="11"/>
      <c r="I30" s="5">
        <v>26</v>
      </c>
      <c r="J30" s="19">
        <v>6400</v>
      </c>
      <c r="K30" s="19">
        <v>0</v>
      </c>
      <c r="L30" s="1"/>
      <c r="M30" s="12" t="s">
        <v>36</v>
      </c>
      <c r="N30" s="13">
        <f>SUM(N19:N29)</f>
        <v>44650</v>
      </c>
      <c r="O30" s="1"/>
      <c r="P30" s="1"/>
      <c r="Q30" s="1"/>
      <c r="R30" s="1"/>
      <c r="U30" s="40"/>
      <c r="V30" s="40"/>
    </row>
    <row r="31" spans="1:26" x14ac:dyDescent="0.2">
      <c r="A31" s="5">
        <v>27</v>
      </c>
      <c r="B31" s="19">
        <v>5625</v>
      </c>
      <c r="C31" s="19">
        <v>2570</v>
      </c>
      <c r="D31" s="11"/>
      <c r="E31" s="5">
        <v>27</v>
      </c>
      <c r="F31" s="19">
        <v>23245</v>
      </c>
      <c r="G31" s="19">
        <v>5748</v>
      </c>
      <c r="H31" s="11"/>
      <c r="I31" s="5">
        <v>27</v>
      </c>
      <c r="J31" s="19">
        <v>1000</v>
      </c>
      <c r="K31" s="19">
        <v>0</v>
      </c>
      <c r="L31" s="1"/>
      <c r="M31" s="1"/>
      <c r="N31" s="1"/>
      <c r="O31" s="1"/>
      <c r="P31" s="1"/>
      <c r="Q31" s="1"/>
      <c r="R31" s="1"/>
    </row>
    <row r="32" spans="1:26" x14ac:dyDescent="0.2">
      <c r="A32" s="5">
        <v>28</v>
      </c>
      <c r="B32" s="19">
        <v>0</v>
      </c>
      <c r="C32" s="19">
        <v>0</v>
      </c>
      <c r="D32" s="11"/>
      <c r="E32" s="5">
        <v>28</v>
      </c>
      <c r="F32" s="19">
        <v>16026</v>
      </c>
      <c r="G32" s="19">
        <v>10229</v>
      </c>
      <c r="H32" s="1"/>
      <c r="I32" s="5">
        <v>28</v>
      </c>
      <c r="J32" s="19">
        <v>4600</v>
      </c>
      <c r="K32" s="19">
        <v>0</v>
      </c>
      <c r="L32" s="1"/>
      <c r="M32" s="81" t="s">
        <v>53</v>
      </c>
      <c r="N32" s="79"/>
      <c r="O32" s="1"/>
      <c r="P32" s="1"/>
      <c r="Q32" s="1"/>
      <c r="R32" s="1"/>
    </row>
    <row r="33" spans="1:25" x14ac:dyDescent="0.2">
      <c r="A33" s="5">
        <v>29</v>
      </c>
      <c r="B33" s="19">
        <v>2910</v>
      </c>
      <c r="C33" s="19">
        <f>6893+1593-899</f>
        <v>7587</v>
      </c>
      <c r="D33" s="1"/>
      <c r="E33" s="5">
        <v>29</v>
      </c>
      <c r="F33" s="19">
        <v>17150</v>
      </c>
      <c r="G33" s="19">
        <v>10820</v>
      </c>
      <c r="H33" s="1"/>
      <c r="I33" s="5">
        <v>29</v>
      </c>
      <c r="J33" s="19">
        <v>3500</v>
      </c>
      <c r="K33" s="19">
        <v>0</v>
      </c>
      <c r="L33" s="1"/>
      <c r="M33" s="2" t="s">
        <v>39</v>
      </c>
      <c r="N33" s="3" t="s">
        <v>6</v>
      </c>
      <c r="O33" s="1"/>
      <c r="P33" s="1"/>
      <c r="Q33" s="1"/>
      <c r="R33" s="1"/>
    </row>
    <row r="34" spans="1:25" x14ac:dyDescent="0.2">
      <c r="A34" s="5">
        <v>30</v>
      </c>
      <c r="B34" s="19">
        <v>10580</v>
      </c>
      <c r="C34" s="19">
        <v>2102</v>
      </c>
      <c r="D34" s="11"/>
      <c r="E34" s="5">
        <v>30</v>
      </c>
      <c r="F34" s="19">
        <v>29133</v>
      </c>
      <c r="G34" s="19">
        <v>10145</v>
      </c>
      <c r="H34" s="1"/>
      <c r="I34" s="5">
        <v>30</v>
      </c>
      <c r="J34" s="19">
        <v>12700</v>
      </c>
      <c r="K34" s="19">
        <v>0</v>
      </c>
      <c r="L34" s="1"/>
      <c r="M34" s="19" t="s">
        <v>96</v>
      </c>
      <c r="N34" s="19">
        <v>14000</v>
      </c>
      <c r="O34" s="28"/>
      <c r="P34" s="1"/>
      <c r="Q34" s="1"/>
      <c r="R34" s="1"/>
    </row>
    <row r="35" spans="1:25" x14ac:dyDescent="0.2">
      <c r="A35" s="12" t="s">
        <v>36</v>
      </c>
      <c r="B35" s="13">
        <f t="shared" ref="B35:C35" si="1">SUM(B5:B34)+B37</f>
        <v>161471</v>
      </c>
      <c r="C35" s="13">
        <f t="shared" si="1"/>
        <v>124304</v>
      </c>
      <c r="D35" s="1"/>
      <c r="E35" s="12" t="s">
        <v>36</v>
      </c>
      <c r="F35" s="13">
        <f t="shared" ref="F35:G35" si="2">SUM(F5:F34)+F37</f>
        <v>640365</v>
      </c>
      <c r="G35" s="13">
        <f t="shared" si="2"/>
        <v>301575</v>
      </c>
      <c r="H35" s="1"/>
      <c r="I35" s="12" t="s">
        <v>36</v>
      </c>
      <c r="J35" s="13">
        <f t="shared" ref="J35:K35" si="3">SUM(J5:J34)+J37</f>
        <v>174500</v>
      </c>
      <c r="K35" s="13">
        <f t="shared" si="3"/>
        <v>0</v>
      </c>
      <c r="L35" s="1"/>
      <c r="M35" s="19" t="s">
        <v>102</v>
      </c>
      <c r="N35" s="19">
        <v>5000</v>
      </c>
      <c r="O35" s="1"/>
      <c r="P35" s="1">
        <f>B36+F36+J36</f>
        <v>550457</v>
      </c>
      <c r="Q35" s="1"/>
      <c r="R35" s="1"/>
      <c r="S35" s="42">
        <f>(B36+F36+J36)-(Z17+N36)</f>
        <v>481757</v>
      </c>
      <c r="Y35" s="29"/>
    </row>
    <row r="36" spans="1:25" x14ac:dyDescent="0.2">
      <c r="A36" s="3" t="s">
        <v>56</v>
      </c>
      <c r="B36" s="82">
        <f>B35-C35</f>
        <v>37167</v>
      </c>
      <c r="C36" s="79"/>
      <c r="D36" s="1"/>
      <c r="E36" s="3" t="s">
        <v>56</v>
      </c>
      <c r="F36" s="82">
        <f>F35-G35</f>
        <v>338790</v>
      </c>
      <c r="G36" s="79"/>
      <c r="H36" s="1"/>
      <c r="I36" s="3" t="s">
        <v>56</v>
      </c>
      <c r="J36" s="82">
        <f>J35-K35</f>
        <v>174500</v>
      </c>
      <c r="K36" s="79"/>
      <c r="L36" s="1"/>
      <c r="M36" s="19"/>
      <c r="N36" s="19"/>
      <c r="O36" s="1"/>
      <c r="P36" s="1"/>
      <c r="Q36" s="1"/>
      <c r="R36" s="1"/>
      <c r="S36" s="42">
        <f>B35+F35+J35</f>
        <v>976336</v>
      </c>
      <c r="Y36" s="29"/>
    </row>
    <row r="37" spans="1:25" x14ac:dyDescent="0.2">
      <c r="A37" s="5">
        <v>31</v>
      </c>
      <c r="B37" s="19">
        <v>7275</v>
      </c>
      <c r="C37" s="19">
        <v>1990</v>
      </c>
      <c r="D37" s="11"/>
      <c r="E37" s="5">
        <v>31</v>
      </c>
      <c r="F37" s="19">
        <v>23225</v>
      </c>
      <c r="G37" s="19">
        <v>17024</v>
      </c>
      <c r="H37" s="1"/>
      <c r="I37" s="5">
        <v>31</v>
      </c>
      <c r="J37" s="19">
        <v>2400</v>
      </c>
      <c r="K37" s="19">
        <v>0</v>
      </c>
      <c r="L37" s="1"/>
      <c r="M37" s="4"/>
      <c r="N37" s="4"/>
      <c r="O37" s="1"/>
      <c r="P37" s="1"/>
      <c r="Q37" s="1"/>
      <c r="R37" s="1"/>
      <c r="S37" s="42">
        <f>C35+G35</f>
        <v>425879</v>
      </c>
      <c r="Y37" s="29"/>
    </row>
    <row r="38" spans="1:2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4"/>
      <c r="N38" s="14"/>
      <c r="O38" s="1"/>
      <c r="P38" s="1"/>
      <c r="Q38" s="1"/>
      <c r="R38" s="1"/>
      <c r="S38" s="42">
        <f>S36-S37</f>
        <v>550457</v>
      </c>
      <c r="Y38" s="11"/>
    </row>
    <row r="39" spans="1:2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4"/>
      <c r="N39" s="4"/>
      <c r="O39" s="1"/>
      <c r="P39" s="1"/>
      <c r="Q39" s="1"/>
      <c r="R39" s="1"/>
      <c r="S39" s="42">
        <f>S38-Z17</f>
        <v>481757</v>
      </c>
      <c r="Y39" s="11"/>
    </row>
    <row r="40" spans="1:2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"/>
      <c r="N40" s="4"/>
      <c r="O40" s="1"/>
      <c r="P40" s="1"/>
      <c r="Q40" s="1"/>
      <c r="R40" s="1"/>
      <c r="Y40" s="11"/>
    </row>
    <row r="41" spans="1:2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4"/>
      <c r="N41" s="4"/>
      <c r="O41" s="1"/>
      <c r="P41" s="1"/>
      <c r="Q41" s="1"/>
      <c r="R41" s="1"/>
      <c r="Y41" s="11"/>
    </row>
    <row r="42" spans="1:25" x14ac:dyDescent="0.2">
      <c r="A42" s="1"/>
      <c r="B42" s="1">
        <f>B35+F35+J35</f>
        <v>976336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4"/>
      <c r="N42" s="4"/>
      <c r="O42" s="1"/>
      <c r="P42" s="1"/>
      <c r="Q42" s="1"/>
      <c r="R42" s="1"/>
      <c r="Y42" s="11"/>
    </row>
    <row r="43" spans="1:25" x14ac:dyDescent="0.2">
      <c r="A43" s="1"/>
      <c r="B43" s="1">
        <f>C35+G35</f>
        <v>425879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4"/>
      <c r="N43" s="4"/>
      <c r="O43" s="1"/>
      <c r="P43" s="1">
        <f>P35-Z17</f>
        <v>481757</v>
      </c>
      <c r="Q43" s="1"/>
      <c r="R43" s="1"/>
      <c r="Y43" s="11"/>
    </row>
    <row r="44" spans="1:25" x14ac:dyDescent="0.2">
      <c r="A44" s="1"/>
      <c r="B44" s="1">
        <f>B43/B42</f>
        <v>0.43620126677701121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4"/>
      <c r="N44" s="4"/>
      <c r="O44" s="1"/>
      <c r="P44" s="1"/>
      <c r="Q44" s="1"/>
      <c r="R44" s="1"/>
      <c r="Y44" s="11"/>
    </row>
    <row r="45" spans="1:2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4"/>
      <c r="N45" s="4"/>
      <c r="O45" s="1"/>
      <c r="P45" s="1"/>
      <c r="Q45" s="1"/>
      <c r="R45" s="1"/>
      <c r="Y45" s="11"/>
    </row>
    <row r="46" spans="1:2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4"/>
      <c r="N46" s="4"/>
      <c r="O46" s="1"/>
      <c r="P46" s="1"/>
      <c r="Q46" s="1">
        <f>S38-N55-N30-N15</f>
        <v>344407</v>
      </c>
      <c r="R46" s="1"/>
      <c r="Y46" s="11"/>
    </row>
    <row r="47" spans="1:2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4"/>
      <c r="N47" s="4"/>
      <c r="O47" s="1"/>
      <c r="P47" s="1"/>
      <c r="Q47" s="1"/>
      <c r="R47" s="1"/>
      <c r="Y47" s="11"/>
    </row>
    <row r="48" spans="1:2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4"/>
      <c r="N48" s="4"/>
      <c r="O48" s="1"/>
      <c r="P48" s="1"/>
      <c r="Q48" s="1"/>
      <c r="R48" s="1"/>
      <c r="Y48" s="11"/>
    </row>
    <row r="49" spans="1:2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"/>
      <c r="N49" s="4"/>
      <c r="O49" s="1"/>
      <c r="P49" s="1"/>
      <c r="Q49" s="1"/>
      <c r="R49" s="1"/>
      <c r="Y49" s="11"/>
    </row>
    <row r="50" spans="1:2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4"/>
      <c r="N50" s="4"/>
      <c r="O50" s="1"/>
      <c r="P50" s="1"/>
      <c r="Q50" s="1"/>
      <c r="R50" s="1"/>
      <c r="Y50" s="11"/>
    </row>
    <row r="51" spans="1:2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4"/>
      <c r="N51" s="4"/>
      <c r="O51" s="1"/>
      <c r="P51" s="1"/>
      <c r="Q51" s="1"/>
      <c r="R51" s="1"/>
      <c r="Y51" s="11"/>
    </row>
    <row r="52" spans="1:2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4"/>
      <c r="O52" s="1"/>
      <c r="P52" s="1"/>
      <c r="Q52" s="1"/>
      <c r="R52" s="1"/>
      <c r="Y52" s="11"/>
    </row>
    <row r="53" spans="1:2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4"/>
      <c r="O53" s="1"/>
      <c r="P53" s="1"/>
      <c r="Q53" s="1"/>
      <c r="R53" s="1"/>
      <c r="Y53" s="11"/>
    </row>
    <row r="54" spans="1:2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4"/>
      <c r="O54" s="1"/>
      <c r="P54" s="1"/>
      <c r="Q54" s="1"/>
      <c r="R54" s="1"/>
      <c r="Y54" s="11"/>
    </row>
    <row r="55" spans="1:2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 t="s">
        <v>36</v>
      </c>
      <c r="N55" s="5">
        <f>SUM(N34:N54)</f>
        <v>19000</v>
      </c>
      <c r="O55" s="1"/>
      <c r="P55" s="1"/>
      <c r="Q55" s="1"/>
      <c r="R55" s="1"/>
      <c r="Y55" s="11"/>
    </row>
    <row r="56" spans="1:25" x14ac:dyDescent="0.2">
      <c r="Y56" s="11"/>
    </row>
    <row r="57" spans="1:25" x14ac:dyDescent="0.2">
      <c r="Y57" s="11"/>
    </row>
    <row r="58" spans="1:25" x14ac:dyDescent="0.2">
      <c r="Y58" s="11"/>
    </row>
    <row r="59" spans="1:25" x14ac:dyDescent="0.2">
      <c r="Y59" s="11"/>
    </row>
    <row r="60" spans="1:25" x14ac:dyDescent="0.2">
      <c r="Y60" s="11"/>
    </row>
    <row r="61" spans="1:25" x14ac:dyDescent="0.2">
      <c r="Y61" s="11"/>
    </row>
    <row r="62" spans="1:25" x14ac:dyDescent="0.2">
      <c r="Y62" s="11"/>
    </row>
    <row r="63" spans="1:25" x14ac:dyDescent="0.2">
      <c r="Y63" s="11"/>
    </row>
    <row r="64" spans="1:25" x14ac:dyDescent="0.2">
      <c r="Y64" s="11"/>
    </row>
    <row r="65" spans="25:25" x14ac:dyDescent="0.2">
      <c r="Y65" s="11"/>
    </row>
  </sheetData>
  <mergeCells count="14">
    <mergeCell ref="T4:V4"/>
    <mergeCell ref="X4:Z4"/>
    <mergeCell ref="A1:P1"/>
    <mergeCell ref="A3:C3"/>
    <mergeCell ref="E3:G3"/>
    <mergeCell ref="I3:K3"/>
    <mergeCell ref="P4:R4"/>
    <mergeCell ref="M2:N2"/>
    <mergeCell ref="M17:N17"/>
    <mergeCell ref="P17:Q17"/>
    <mergeCell ref="M32:N32"/>
    <mergeCell ref="B36:C36"/>
    <mergeCell ref="F36:G36"/>
    <mergeCell ref="J36:K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55"/>
  <sheetViews>
    <sheetView topLeftCell="A43" workbookViewId="0">
      <selection activeCell="N55" sqref="N55"/>
    </sheetView>
  </sheetViews>
  <sheetFormatPr defaultColWidth="12.5703125" defaultRowHeight="15.75" customHeight="1" x14ac:dyDescent="0.2"/>
  <cols>
    <col min="1" max="1" width="6.140625" customWidth="1"/>
    <col min="2" max="2" width="6.42578125" customWidth="1"/>
    <col min="3" max="3" width="6.5703125" customWidth="1"/>
    <col min="4" max="4" width="2.85546875" customWidth="1"/>
    <col min="5" max="6" width="6.42578125" customWidth="1"/>
    <col min="7" max="7" width="6.5703125" customWidth="1"/>
    <col min="8" max="8" width="5.5703125" customWidth="1"/>
    <col min="9" max="9" width="5.42578125" customWidth="1"/>
    <col min="10" max="10" width="6.42578125" customWidth="1"/>
    <col min="11" max="11" width="6.5703125" customWidth="1"/>
    <col min="12" max="12" width="4" customWidth="1"/>
    <col min="13" max="13" width="12.5703125" customWidth="1"/>
    <col min="14" max="14" width="6.7109375" customWidth="1"/>
    <col min="15" max="15" width="6.42578125" customWidth="1"/>
    <col min="16" max="16" width="11.85546875" customWidth="1"/>
    <col min="17" max="18" width="6.7109375" customWidth="1"/>
    <col min="19" max="19" width="8.5703125" customWidth="1"/>
    <col min="20" max="20" width="6.7109375" customWidth="1"/>
    <col min="21" max="21" width="5.85546875" customWidth="1"/>
    <col min="22" max="22" width="8" customWidth="1"/>
    <col min="23" max="23" width="7.140625" customWidth="1"/>
    <col min="24" max="24" width="6.28515625" customWidth="1"/>
    <col min="25" max="25" width="5.85546875" customWidth="1"/>
    <col min="26" max="26" width="6.7109375" customWidth="1"/>
  </cols>
  <sheetData>
    <row r="1" spans="1:26" x14ac:dyDescent="0.2">
      <c r="A1" s="80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79"/>
      <c r="Q1" s="1"/>
      <c r="R1" s="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5" t="s">
        <v>1</v>
      </c>
      <c r="N2" s="79"/>
      <c r="O2" s="1"/>
      <c r="P2" s="1"/>
      <c r="Q2" s="1"/>
      <c r="R2" s="1"/>
    </row>
    <row r="3" spans="1:26" x14ac:dyDescent="0.2">
      <c r="A3" s="86" t="s">
        <v>2</v>
      </c>
      <c r="B3" s="84"/>
      <c r="C3" s="79"/>
      <c r="D3" s="1"/>
      <c r="E3" s="87" t="s">
        <v>3</v>
      </c>
      <c r="F3" s="84"/>
      <c r="G3" s="79"/>
      <c r="H3" s="1"/>
      <c r="I3" s="88" t="s">
        <v>4</v>
      </c>
      <c r="J3" s="84"/>
      <c r="K3" s="79"/>
      <c r="L3" s="1"/>
      <c r="M3" s="2" t="s">
        <v>5</v>
      </c>
      <c r="N3" s="3" t="s">
        <v>6</v>
      </c>
      <c r="O3" s="11" t="s">
        <v>103</v>
      </c>
      <c r="P3" s="1"/>
      <c r="Q3" s="1"/>
      <c r="R3" s="1"/>
    </row>
    <row r="4" spans="1:26" x14ac:dyDescent="0.2">
      <c r="A4" s="4" t="s">
        <v>7</v>
      </c>
      <c r="B4" s="4" t="s">
        <v>8</v>
      </c>
      <c r="C4" s="4" t="s">
        <v>9</v>
      </c>
      <c r="D4" s="1"/>
      <c r="E4" s="4" t="s">
        <v>7</v>
      </c>
      <c r="F4" s="4" t="s">
        <v>8</v>
      </c>
      <c r="G4" s="4" t="s">
        <v>9</v>
      </c>
      <c r="H4" s="1"/>
      <c r="I4" s="4" t="s">
        <v>7</v>
      </c>
      <c r="J4" s="4" t="s">
        <v>8</v>
      </c>
      <c r="K4" s="4" t="s">
        <v>9</v>
      </c>
      <c r="L4" s="1"/>
      <c r="M4" s="16" t="s">
        <v>69</v>
      </c>
      <c r="N4" s="16">
        <v>15000</v>
      </c>
      <c r="O4" s="11">
        <v>0</v>
      </c>
      <c r="P4" s="83" t="s">
        <v>11</v>
      </c>
      <c r="Q4" s="84"/>
      <c r="R4" s="79"/>
      <c r="T4" s="83" t="s">
        <v>11</v>
      </c>
      <c r="U4" s="84"/>
      <c r="V4" s="79"/>
      <c r="X4" s="83" t="s">
        <v>11</v>
      </c>
      <c r="Y4" s="84"/>
      <c r="Z4" s="79"/>
    </row>
    <row r="5" spans="1:26" x14ac:dyDescent="0.2">
      <c r="A5" s="5">
        <v>1</v>
      </c>
      <c r="B5" s="20">
        <v>5905</v>
      </c>
      <c r="C5" s="20">
        <f>1862+4348</f>
        <v>6210</v>
      </c>
      <c r="D5" s="11"/>
      <c r="E5" s="5">
        <v>1</v>
      </c>
      <c r="F5" s="20">
        <v>21170</v>
      </c>
      <c r="G5" s="20">
        <v>17325</v>
      </c>
      <c r="H5" s="7"/>
      <c r="I5" s="5">
        <v>1</v>
      </c>
      <c r="J5" s="20">
        <v>37600</v>
      </c>
      <c r="K5" s="20">
        <v>0</v>
      </c>
      <c r="L5" s="1"/>
      <c r="M5" s="4" t="s">
        <v>12</v>
      </c>
      <c r="N5" s="20">
        <v>19000</v>
      </c>
      <c r="O5" s="11">
        <v>500</v>
      </c>
      <c r="P5" s="4" t="s">
        <v>13</v>
      </c>
      <c r="Q5" s="4" t="s">
        <v>14</v>
      </c>
      <c r="R5" s="4" t="s">
        <v>6</v>
      </c>
      <c r="T5" s="4" t="s">
        <v>13</v>
      </c>
      <c r="U5" s="4" t="s">
        <v>14</v>
      </c>
      <c r="V5" s="4" t="s">
        <v>6</v>
      </c>
      <c r="X5" s="4" t="s">
        <v>13</v>
      </c>
      <c r="Y5" s="4" t="s">
        <v>14</v>
      </c>
      <c r="Z5" s="4" t="s">
        <v>6</v>
      </c>
    </row>
    <row r="6" spans="1:26" x14ac:dyDescent="0.2">
      <c r="A6" s="5">
        <v>2</v>
      </c>
      <c r="B6" s="20">
        <v>3970</v>
      </c>
      <c r="C6" s="20">
        <v>4805</v>
      </c>
      <c r="D6" s="29"/>
      <c r="E6" s="5">
        <v>2</v>
      </c>
      <c r="F6" s="20">
        <v>32843</v>
      </c>
      <c r="G6" s="20">
        <v>13149</v>
      </c>
      <c r="H6" s="7"/>
      <c r="I6" s="5">
        <v>2</v>
      </c>
      <c r="J6" s="20">
        <v>1700</v>
      </c>
      <c r="K6" s="20">
        <v>0</v>
      </c>
      <c r="L6" s="1"/>
      <c r="M6" s="4" t="s">
        <v>15</v>
      </c>
      <c r="N6" s="20">
        <v>16000</v>
      </c>
      <c r="O6" s="11">
        <v>11000</v>
      </c>
      <c r="P6" s="45">
        <v>44652</v>
      </c>
      <c r="Q6" s="46" t="s">
        <v>86</v>
      </c>
      <c r="R6" s="47">
        <v>500</v>
      </c>
      <c r="T6" s="18">
        <v>44664</v>
      </c>
      <c r="U6" s="19" t="s">
        <v>77</v>
      </c>
      <c r="V6" s="20">
        <v>4000</v>
      </c>
      <c r="X6" s="18">
        <v>44674</v>
      </c>
      <c r="Y6" s="19" t="s">
        <v>23</v>
      </c>
      <c r="Z6" s="20">
        <v>3000</v>
      </c>
    </row>
    <row r="7" spans="1:26" x14ac:dyDescent="0.2">
      <c r="A7" s="5">
        <v>3</v>
      </c>
      <c r="B7" s="20">
        <v>1780</v>
      </c>
      <c r="C7" s="20">
        <v>3777</v>
      </c>
      <c r="D7" s="7"/>
      <c r="E7" s="5">
        <v>3</v>
      </c>
      <c r="F7" s="20">
        <v>33065</v>
      </c>
      <c r="G7" s="20">
        <v>13557</v>
      </c>
      <c r="H7" s="7"/>
      <c r="I7" s="5">
        <v>3</v>
      </c>
      <c r="J7" s="20">
        <v>1100</v>
      </c>
      <c r="K7" s="20">
        <v>0</v>
      </c>
      <c r="L7" s="1"/>
      <c r="M7" s="4" t="s">
        <v>19</v>
      </c>
      <c r="N7" s="20">
        <v>13000</v>
      </c>
      <c r="O7" s="11">
        <v>17000</v>
      </c>
      <c r="P7" s="48">
        <v>44654</v>
      </c>
      <c r="Q7" s="46" t="s">
        <v>86</v>
      </c>
      <c r="R7" s="46">
        <v>500</v>
      </c>
      <c r="T7" s="21">
        <v>44665</v>
      </c>
      <c r="U7" s="19" t="s">
        <v>32</v>
      </c>
      <c r="V7" s="19">
        <v>7000</v>
      </c>
      <c r="X7" s="21">
        <v>44675</v>
      </c>
      <c r="Y7" s="19" t="s">
        <v>17</v>
      </c>
      <c r="Z7" s="19">
        <v>1500</v>
      </c>
    </row>
    <row r="8" spans="1:26" x14ac:dyDescent="0.2">
      <c r="A8" s="5">
        <v>4</v>
      </c>
      <c r="B8" s="19">
        <v>0</v>
      </c>
      <c r="C8" s="19">
        <v>6979</v>
      </c>
      <c r="D8" s="11" t="s">
        <v>21</v>
      </c>
      <c r="E8" s="5">
        <v>4</v>
      </c>
      <c r="F8" s="19">
        <v>18875</v>
      </c>
      <c r="G8" s="19">
        <v>10328</v>
      </c>
      <c r="H8" s="11"/>
      <c r="I8" s="5">
        <v>4</v>
      </c>
      <c r="J8" s="19">
        <v>3500</v>
      </c>
      <c r="K8" s="19">
        <v>0</v>
      </c>
      <c r="L8" s="1"/>
      <c r="M8" s="4" t="s">
        <v>22</v>
      </c>
      <c r="N8" s="20">
        <v>13000</v>
      </c>
      <c r="O8" s="11">
        <v>15000</v>
      </c>
      <c r="P8" s="21">
        <v>44656</v>
      </c>
      <c r="Q8" s="19" t="s">
        <v>86</v>
      </c>
      <c r="R8" s="19">
        <v>500</v>
      </c>
      <c r="T8" s="21">
        <v>44665</v>
      </c>
      <c r="U8" s="19" t="s">
        <v>17</v>
      </c>
      <c r="V8" s="19">
        <v>1500</v>
      </c>
      <c r="X8" s="21">
        <v>44675</v>
      </c>
      <c r="Y8" s="19" t="s">
        <v>28</v>
      </c>
      <c r="Z8" s="19">
        <v>500</v>
      </c>
    </row>
    <row r="9" spans="1:26" x14ac:dyDescent="0.2">
      <c r="A9" s="5">
        <v>5</v>
      </c>
      <c r="B9" s="19">
        <v>3680</v>
      </c>
      <c r="C9" s="19">
        <f>5700+1249</f>
        <v>6949</v>
      </c>
      <c r="D9" s="11"/>
      <c r="E9" s="5">
        <v>5</v>
      </c>
      <c r="F9" s="19">
        <v>20520</v>
      </c>
      <c r="G9" s="19">
        <v>5305</v>
      </c>
      <c r="H9" s="11"/>
      <c r="I9" s="5">
        <v>5</v>
      </c>
      <c r="J9" s="19">
        <v>2800</v>
      </c>
      <c r="K9" s="19">
        <v>0</v>
      </c>
      <c r="L9" s="1"/>
      <c r="M9" s="4" t="s">
        <v>24</v>
      </c>
      <c r="N9" s="20">
        <v>8000</v>
      </c>
      <c r="O9" s="11">
        <v>0</v>
      </c>
      <c r="P9" s="21">
        <v>44657</v>
      </c>
      <c r="Q9" s="19" t="s">
        <v>32</v>
      </c>
      <c r="R9" s="19">
        <v>4500</v>
      </c>
      <c r="T9" s="21">
        <v>44665</v>
      </c>
      <c r="U9" s="19" t="s">
        <v>104</v>
      </c>
      <c r="V9" s="19">
        <v>3000</v>
      </c>
      <c r="X9" s="21">
        <v>44676</v>
      </c>
      <c r="Y9" s="19" t="s">
        <v>17</v>
      </c>
      <c r="Z9" s="19">
        <v>500</v>
      </c>
    </row>
    <row r="10" spans="1:26" x14ac:dyDescent="0.2">
      <c r="A10" s="5">
        <v>6</v>
      </c>
      <c r="B10" s="19">
        <v>410</v>
      </c>
      <c r="C10" s="19">
        <v>683</v>
      </c>
      <c r="D10" s="11"/>
      <c r="E10" s="5">
        <v>6</v>
      </c>
      <c r="F10" s="19">
        <v>15063</v>
      </c>
      <c r="G10" s="19">
        <v>9629</v>
      </c>
      <c r="H10" s="11"/>
      <c r="I10" s="5">
        <v>6</v>
      </c>
      <c r="J10" s="19">
        <v>30600</v>
      </c>
      <c r="K10" s="19">
        <v>0</v>
      </c>
      <c r="L10" s="1"/>
      <c r="M10" s="4" t="s">
        <v>26</v>
      </c>
      <c r="N10" s="20">
        <v>18000</v>
      </c>
      <c r="O10" s="11">
        <v>21000</v>
      </c>
      <c r="P10" s="21">
        <v>44657</v>
      </c>
      <c r="Q10" s="19" t="s">
        <v>25</v>
      </c>
      <c r="R10" s="19">
        <v>13000</v>
      </c>
      <c r="T10" s="21">
        <v>44666</v>
      </c>
      <c r="U10" s="19" t="s">
        <v>17</v>
      </c>
      <c r="V10" s="19">
        <v>1000</v>
      </c>
      <c r="X10" s="21">
        <v>44677</v>
      </c>
      <c r="Y10" s="19" t="s">
        <v>28</v>
      </c>
      <c r="Z10" s="19">
        <v>2500</v>
      </c>
    </row>
    <row r="11" spans="1:26" x14ac:dyDescent="0.2">
      <c r="A11" s="5">
        <v>7</v>
      </c>
      <c r="B11" s="19">
        <v>7770</v>
      </c>
      <c r="C11" s="19">
        <v>2934</v>
      </c>
      <c r="D11" s="11"/>
      <c r="E11" s="5">
        <v>7</v>
      </c>
      <c r="F11" s="19">
        <v>32235</v>
      </c>
      <c r="G11" s="19">
        <v>6718</v>
      </c>
      <c r="H11" s="11"/>
      <c r="I11" s="5">
        <v>7</v>
      </c>
      <c r="J11" s="19">
        <v>1300</v>
      </c>
      <c r="K11" s="19">
        <v>0</v>
      </c>
      <c r="L11" s="1"/>
      <c r="M11" s="4" t="s">
        <v>29</v>
      </c>
      <c r="N11" s="20">
        <v>14000</v>
      </c>
      <c r="O11" s="11">
        <v>3000</v>
      </c>
      <c r="P11" s="21">
        <v>44658</v>
      </c>
      <c r="Q11" s="19" t="s">
        <v>97</v>
      </c>
      <c r="R11" s="19">
        <v>3000</v>
      </c>
      <c r="T11" s="21">
        <v>44666</v>
      </c>
      <c r="U11" s="19" t="s">
        <v>23</v>
      </c>
      <c r="V11" s="19">
        <v>2000</v>
      </c>
      <c r="X11" s="21">
        <v>44679</v>
      </c>
      <c r="Y11" s="19" t="s">
        <v>17</v>
      </c>
      <c r="Z11" s="19">
        <v>1000</v>
      </c>
    </row>
    <row r="12" spans="1:26" x14ac:dyDescent="0.2">
      <c r="A12" s="5">
        <v>8</v>
      </c>
      <c r="B12" s="19">
        <v>6895</v>
      </c>
      <c r="C12" s="19">
        <v>7726</v>
      </c>
      <c r="D12" s="11"/>
      <c r="E12" s="5">
        <v>8</v>
      </c>
      <c r="F12" s="19">
        <v>30880</v>
      </c>
      <c r="G12" s="19">
        <v>20475</v>
      </c>
      <c r="H12" s="11"/>
      <c r="I12" s="5">
        <v>8</v>
      </c>
      <c r="J12" s="19">
        <v>3500</v>
      </c>
      <c r="K12" s="19">
        <v>0</v>
      </c>
      <c r="L12" s="11"/>
      <c r="M12" s="19" t="s">
        <v>74</v>
      </c>
      <c r="N12" s="20">
        <v>13000</v>
      </c>
      <c r="O12" s="11">
        <v>0</v>
      </c>
      <c r="P12" s="21">
        <v>44659</v>
      </c>
      <c r="Q12" s="19" t="s">
        <v>86</v>
      </c>
      <c r="R12" s="19">
        <v>3500</v>
      </c>
      <c r="T12" s="21">
        <v>44668</v>
      </c>
      <c r="U12" s="19" t="s">
        <v>23</v>
      </c>
      <c r="V12" s="19">
        <v>2500</v>
      </c>
      <c r="X12" s="21">
        <v>44681</v>
      </c>
      <c r="Y12" s="19" t="s">
        <v>28</v>
      </c>
      <c r="Z12" s="19">
        <v>500</v>
      </c>
    </row>
    <row r="13" spans="1:26" x14ac:dyDescent="0.2">
      <c r="A13" s="5">
        <v>9</v>
      </c>
      <c r="B13" s="19">
        <v>7211</v>
      </c>
      <c r="C13" s="19">
        <f>2169+6249</f>
        <v>8418</v>
      </c>
      <c r="D13" s="11"/>
      <c r="E13" s="5">
        <v>9</v>
      </c>
      <c r="F13" s="19">
        <v>23011</v>
      </c>
      <c r="G13" s="19">
        <v>6799</v>
      </c>
      <c r="H13" s="11"/>
      <c r="I13" s="5">
        <v>9</v>
      </c>
      <c r="J13" s="19">
        <v>3100</v>
      </c>
      <c r="K13" s="19">
        <v>0</v>
      </c>
      <c r="L13" s="11"/>
      <c r="M13" s="19" t="s">
        <v>87</v>
      </c>
      <c r="N13" s="19">
        <v>13000</v>
      </c>
      <c r="O13" s="11">
        <v>4000</v>
      </c>
      <c r="P13" s="21">
        <v>44661</v>
      </c>
      <c r="Q13" s="19" t="s">
        <v>22</v>
      </c>
      <c r="R13" s="19">
        <v>4500</v>
      </c>
      <c r="T13" s="21">
        <v>44669</v>
      </c>
      <c r="U13" s="19" t="s">
        <v>17</v>
      </c>
      <c r="V13" s="19">
        <v>1000</v>
      </c>
      <c r="X13" s="21"/>
      <c r="Y13" s="19"/>
      <c r="Z13" s="19"/>
    </row>
    <row r="14" spans="1:26" x14ac:dyDescent="0.2">
      <c r="A14" s="5">
        <v>10</v>
      </c>
      <c r="B14" s="19">
        <v>5220</v>
      </c>
      <c r="C14" s="19">
        <v>2943</v>
      </c>
      <c r="D14" s="11"/>
      <c r="E14" s="5">
        <v>10</v>
      </c>
      <c r="F14" s="19">
        <v>41241</v>
      </c>
      <c r="G14" s="19">
        <v>12676</v>
      </c>
      <c r="H14" s="11"/>
      <c r="I14" s="5">
        <v>10</v>
      </c>
      <c r="J14" s="19">
        <v>4600</v>
      </c>
      <c r="K14" s="19">
        <v>0</v>
      </c>
      <c r="L14" s="1"/>
      <c r="M14" s="19" t="s">
        <v>77</v>
      </c>
      <c r="N14" s="19">
        <v>10200</v>
      </c>
      <c r="O14" s="11">
        <v>4000</v>
      </c>
      <c r="P14" s="21">
        <v>44662</v>
      </c>
      <c r="Q14" s="19" t="s">
        <v>32</v>
      </c>
      <c r="R14" s="19">
        <v>2000</v>
      </c>
      <c r="T14" s="21">
        <v>44670</v>
      </c>
      <c r="U14" s="19" t="s">
        <v>17</v>
      </c>
      <c r="V14" s="19">
        <v>500</v>
      </c>
      <c r="X14" s="21"/>
      <c r="Y14" s="19"/>
      <c r="Z14" s="19"/>
    </row>
    <row r="15" spans="1:26" x14ac:dyDescent="0.2">
      <c r="A15" s="5">
        <v>11</v>
      </c>
      <c r="B15" s="19">
        <v>0</v>
      </c>
      <c r="C15" s="19">
        <v>0</v>
      </c>
      <c r="D15" s="11" t="s">
        <v>21</v>
      </c>
      <c r="E15" s="5">
        <v>11</v>
      </c>
      <c r="F15" s="19">
        <v>20715</v>
      </c>
      <c r="G15" s="19">
        <v>10260</v>
      </c>
      <c r="H15" s="11"/>
      <c r="I15" s="5">
        <v>11</v>
      </c>
      <c r="J15" s="19">
        <v>17800</v>
      </c>
      <c r="K15" s="19">
        <v>0</v>
      </c>
      <c r="L15" s="1"/>
      <c r="M15" s="12" t="s">
        <v>79</v>
      </c>
      <c r="N15" s="13">
        <f>SUM(N4:N14)</f>
        <v>152200</v>
      </c>
      <c r="O15" s="1"/>
      <c r="P15" s="21">
        <v>44663</v>
      </c>
      <c r="Q15" s="19" t="s">
        <v>25</v>
      </c>
      <c r="R15" s="19">
        <v>3000</v>
      </c>
      <c r="T15" s="21">
        <v>44671</v>
      </c>
      <c r="U15" s="19" t="s">
        <v>23</v>
      </c>
      <c r="V15" s="19">
        <v>3000</v>
      </c>
      <c r="X15" s="21"/>
      <c r="Y15" s="19"/>
      <c r="Z15" s="19"/>
    </row>
    <row r="16" spans="1:26" x14ac:dyDescent="0.2">
      <c r="A16" s="5">
        <v>12</v>
      </c>
      <c r="B16" s="19">
        <v>11488</v>
      </c>
      <c r="C16" s="19">
        <v>8531</v>
      </c>
      <c r="D16" s="11"/>
      <c r="E16" s="5">
        <v>12</v>
      </c>
      <c r="F16" s="19">
        <v>28634</v>
      </c>
      <c r="G16" s="19">
        <v>8022</v>
      </c>
      <c r="H16" s="11"/>
      <c r="I16" s="5">
        <v>12</v>
      </c>
      <c r="J16" s="19">
        <v>13900</v>
      </c>
      <c r="K16" s="19">
        <v>0</v>
      </c>
      <c r="L16" s="1"/>
      <c r="M16" s="25"/>
      <c r="N16" s="6"/>
      <c r="O16" s="1"/>
      <c r="P16" s="1"/>
      <c r="Q16" s="1"/>
      <c r="R16" s="1">
        <f>SUM(R8:R15)</f>
        <v>34000</v>
      </c>
      <c r="V16" s="42">
        <f>SUM(V6:V15)</f>
        <v>25500</v>
      </c>
      <c r="Z16" s="42">
        <f>SUM(Z6:Z15)</f>
        <v>9500</v>
      </c>
    </row>
    <row r="17" spans="1:26" x14ac:dyDescent="0.2">
      <c r="A17" s="5">
        <v>13</v>
      </c>
      <c r="B17" s="19">
        <v>5984</v>
      </c>
      <c r="C17" s="19">
        <v>149</v>
      </c>
      <c r="D17" s="11"/>
      <c r="E17" s="5">
        <v>13</v>
      </c>
      <c r="F17" s="19">
        <v>22510</v>
      </c>
      <c r="G17" s="19">
        <v>19899</v>
      </c>
      <c r="H17" s="11"/>
      <c r="I17" s="5">
        <v>13</v>
      </c>
      <c r="J17" s="19">
        <v>5500</v>
      </c>
      <c r="K17" s="19">
        <v>0</v>
      </c>
      <c r="L17" s="1"/>
      <c r="M17" s="78" t="s">
        <v>37</v>
      </c>
      <c r="N17" s="79"/>
      <c r="O17" s="1"/>
      <c r="P17" s="80" t="s">
        <v>38</v>
      </c>
      <c r="Q17" s="79"/>
      <c r="R17" s="1"/>
      <c r="Z17" s="42">
        <f>R16+V16+Z16</f>
        <v>69000</v>
      </c>
    </row>
    <row r="18" spans="1:26" x14ac:dyDescent="0.2">
      <c r="A18" s="5">
        <v>14</v>
      </c>
      <c r="B18" s="19">
        <v>8195</v>
      </c>
      <c r="C18" s="19">
        <v>3584</v>
      </c>
      <c r="D18" s="11"/>
      <c r="E18" s="5">
        <v>14</v>
      </c>
      <c r="F18" s="19">
        <v>38500</v>
      </c>
      <c r="G18" s="19">
        <v>8999</v>
      </c>
      <c r="H18" s="11"/>
      <c r="I18" s="5">
        <v>14</v>
      </c>
      <c r="J18" s="19">
        <v>500</v>
      </c>
      <c r="K18" s="19">
        <v>0</v>
      </c>
      <c r="L18" s="1"/>
      <c r="M18" s="2" t="s">
        <v>39</v>
      </c>
      <c r="N18" s="3" t="s">
        <v>6</v>
      </c>
      <c r="O18" s="1"/>
      <c r="P18" s="2" t="s">
        <v>5</v>
      </c>
      <c r="Q18" s="3" t="s">
        <v>6</v>
      </c>
      <c r="R18" s="1"/>
      <c r="S18" s="89" t="s">
        <v>105</v>
      </c>
      <c r="T18" s="84"/>
      <c r="U18" s="84"/>
      <c r="V18" s="79"/>
    </row>
    <row r="19" spans="1:26" x14ac:dyDescent="0.2">
      <c r="A19" s="5">
        <v>15</v>
      </c>
      <c r="B19" s="19">
        <v>3541</v>
      </c>
      <c r="C19" s="19">
        <v>5371</v>
      </c>
      <c r="D19" s="11"/>
      <c r="E19" s="5">
        <v>15</v>
      </c>
      <c r="F19" s="19">
        <v>31996</v>
      </c>
      <c r="G19" s="19">
        <v>14674</v>
      </c>
      <c r="H19" s="11"/>
      <c r="I19" s="5">
        <v>15</v>
      </c>
      <c r="J19" s="19">
        <v>1700</v>
      </c>
      <c r="K19" s="19">
        <v>0</v>
      </c>
      <c r="L19" s="1"/>
      <c r="M19" s="4" t="s">
        <v>41</v>
      </c>
      <c r="N19" s="20">
        <v>40000</v>
      </c>
      <c r="O19" s="1"/>
      <c r="P19" s="4" t="s">
        <v>42</v>
      </c>
      <c r="Q19" s="5">
        <f>B35+F35+J35</f>
        <v>1160625</v>
      </c>
      <c r="R19" s="1"/>
      <c r="S19" s="16" t="s">
        <v>106</v>
      </c>
      <c r="T19" s="16" t="s">
        <v>68</v>
      </c>
      <c r="U19" s="16" t="s">
        <v>107</v>
      </c>
      <c r="V19" s="16" t="s">
        <v>108</v>
      </c>
      <c r="X19" s="16" t="s">
        <v>109</v>
      </c>
    </row>
    <row r="20" spans="1:26" x14ac:dyDescent="0.2">
      <c r="A20" s="5">
        <v>16</v>
      </c>
      <c r="B20" s="19">
        <v>3155</v>
      </c>
      <c r="C20" s="19">
        <v>0</v>
      </c>
      <c r="D20" s="11"/>
      <c r="E20" s="5">
        <v>16</v>
      </c>
      <c r="F20" s="19">
        <v>26191</v>
      </c>
      <c r="G20" s="19">
        <v>7799</v>
      </c>
      <c r="H20" s="11"/>
      <c r="I20" s="5">
        <v>16</v>
      </c>
      <c r="J20" s="19">
        <v>14950</v>
      </c>
      <c r="K20" s="19">
        <v>0</v>
      </c>
      <c r="L20" s="11"/>
      <c r="M20" s="4" t="s">
        <v>43</v>
      </c>
      <c r="N20" s="19">
        <f>5618+34223</f>
        <v>39841</v>
      </c>
      <c r="O20" s="1"/>
      <c r="P20" s="4" t="s">
        <v>44</v>
      </c>
      <c r="Q20" s="5">
        <f>C35+G35+K35+N15+N30+N55</f>
        <v>843860</v>
      </c>
      <c r="R20" s="1"/>
      <c r="S20" s="16">
        <v>1</v>
      </c>
      <c r="T20" s="49">
        <f>29795+4445</f>
        <v>34240</v>
      </c>
      <c r="U20" s="50">
        <f>1460+4940</f>
        <v>6400</v>
      </c>
      <c r="V20" s="50">
        <f t="shared" ref="V20:V49" si="0">SUM(T20:U20)</f>
        <v>40640</v>
      </c>
      <c r="X20" s="16">
        <v>80</v>
      </c>
    </row>
    <row r="21" spans="1:26" x14ac:dyDescent="0.2">
      <c r="A21" s="5">
        <v>17</v>
      </c>
      <c r="B21" s="19">
        <v>3804</v>
      </c>
      <c r="C21" s="19">
        <v>4659</v>
      </c>
      <c r="D21" s="11"/>
      <c r="E21" s="5">
        <v>17</v>
      </c>
      <c r="F21" s="19">
        <v>31274</v>
      </c>
      <c r="G21" s="19">
        <v>17421</v>
      </c>
      <c r="H21" s="11"/>
      <c r="I21" s="5">
        <v>17</v>
      </c>
      <c r="J21" s="19">
        <v>2300</v>
      </c>
      <c r="K21" s="19">
        <v>0</v>
      </c>
      <c r="L21" s="1"/>
      <c r="M21" s="4" t="s">
        <v>46</v>
      </c>
      <c r="N21" s="5">
        <v>2500</v>
      </c>
      <c r="O21" s="1"/>
      <c r="P21" s="26" t="s">
        <v>47</v>
      </c>
      <c r="Q21" s="27">
        <f>Q19-Q20</f>
        <v>316765</v>
      </c>
      <c r="R21" s="1"/>
      <c r="S21" s="16">
        <v>2</v>
      </c>
      <c r="T21" s="49">
        <f>3730+9469</f>
        <v>13199</v>
      </c>
      <c r="U21" s="50">
        <f>240+7040</f>
        <v>7280</v>
      </c>
      <c r="V21" s="50">
        <f t="shared" si="0"/>
        <v>20479</v>
      </c>
      <c r="X21" s="16">
        <v>0</v>
      </c>
    </row>
    <row r="22" spans="1:26" x14ac:dyDescent="0.2">
      <c r="A22" s="5">
        <v>18</v>
      </c>
      <c r="B22" s="19">
        <v>0</v>
      </c>
      <c r="C22" s="19">
        <v>3654</v>
      </c>
      <c r="D22" s="11"/>
      <c r="E22" s="5">
        <v>18</v>
      </c>
      <c r="F22" s="19">
        <v>24275</v>
      </c>
      <c r="G22" s="19">
        <v>19237</v>
      </c>
      <c r="H22" s="11"/>
      <c r="I22" s="5">
        <v>18</v>
      </c>
      <c r="J22" s="19">
        <v>17400</v>
      </c>
      <c r="K22" s="19">
        <v>0</v>
      </c>
      <c r="L22" s="1"/>
      <c r="M22" s="4"/>
      <c r="N22" s="19"/>
      <c r="O22" s="1"/>
      <c r="P22" s="4" t="s">
        <v>49</v>
      </c>
      <c r="Q22" s="20">
        <v>35000</v>
      </c>
      <c r="R22" s="1"/>
      <c r="S22" s="16">
        <v>3</v>
      </c>
      <c r="T22" s="49">
        <f>8541+1780</f>
        <v>10321</v>
      </c>
      <c r="U22" s="16">
        <v>7790</v>
      </c>
      <c r="V22" s="50">
        <f t="shared" si="0"/>
        <v>18111</v>
      </c>
      <c r="X22" s="16">
        <v>0</v>
      </c>
    </row>
    <row r="23" spans="1:26" x14ac:dyDescent="0.2">
      <c r="A23" s="5">
        <v>19</v>
      </c>
      <c r="B23" s="19">
        <v>6630</v>
      </c>
      <c r="C23" s="19">
        <v>6197</v>
      </c>
      <c r="D23" s="11"/>
      <c r="E23" s="5">
        <v>19</v>
      </c>
      <c r="F23" s="19">
        <v>24055</v>
      </c>
      <c r="G23" s="19">
        <v>18768</v>
      </c>
      <c r="H23" s="11"/>
      <c r="I23" s="5">
        <v>19</v>
      </c>
      <c r="J23" s="19">
        <v>16800</v>
      </c>
      <c r="K23" s="19">
        <v>0</v>
      </c>
      <c r="L23" s="1"/>
      <c r="M23" s="4" t="s">
        <v>50</v>
      </c>
      <c r="N23" s="5">
        <v>1690</v>
      </c>
      <c r="O23" s="1"/>
      <c r="P23" s="1"/>
      <c r="Q23" s="1"/>
      <c r="R23" s="1"/>
      <c r="S23" s="16">
        <v>4</v>
      </c>
      <c r="T23" s="51">
        <v>1873</v>
      </c>
      <c r="U23" s="16">
        <v>3195</v>
      </c>
      <c r="V23" s="50">
        <f t="shared" si="0"/>
        <v>5068</v>
      </c>
      <c r="X23" s="16">
        <v>0</v>
      </c>
    </row>
    <row r="24" spans="1:26" x14ac:dyDescent="0.2">
      <c r="A24" s="5">
        <v>20</v>
      </c>
      <c r="B24" s="19">
        <v>3540</v>
      </c>
      <c r="C24" s="19">
        <f>4657+2581</f>
        <v>7238</v>
      </c>
      <c r="D24" s="11"/>
      <c r="E24" s="5">
        <v>20</v>
      </c>
      <c r="F24" s="19">
        <v>30465</v>
      </c>
      <c r="G24" s="19">
        <v>19072</v>
      </c>
      <c r="H24" s="11"/>
      <c r="I24" s="5">
        <v>20</v>
      </c>
      <c r="J24" s="19">
        <v>5500</v>
      </c>
      <c r="K24" s="19">
        <v>0</v>
      </c>
      <c r="L24" s="1"/>
      <c r="M24" s="4" t="s">
        <v>51</v>
      </c>
      <c r="N24" s="20">
        <v>5000</v>
      </c>
      <c r="O24" s="1"/>
      <c r="P24" s="1"/>
      <c r="Q24" s="1"/>
      <c r="R24" s="1"/>
      <c r="S24" s="16">
        <v>5</v>
      </c>
      <c r="T24" s="51">
        <v>8636</v>
      </c>
      <c r="U24" s="16">
        <v>5690</v>
      </c>
      <c r="V24" s="50">
        <f t="shared" si="0"/>
        <v>14326</v>
      </c>
      <c r="X24" s="52">
        <v>120</v>
      </c>
    </row>
    <row r="25" spans="1:26" x14ac:dyDescent="0.2">
      <c r="A25" s="5">
        <v>21</v>
      </c>
      <c r="B25" s="19">
        <v>3230</v>
      </c>
      <c r="C25" s="19">
        <f>3334+3914</f>
        <v>7248</v>
      </c>
      <c r="D25" s="11"/>
      <c r="E25" s="5">
        <v>21</v>
      </c>
      <c r="F25" s="19">
        <v>28470</v>
      </c>
      <c r="G25" s="19">
        <f>25223-7248</f>
        <v>17975</v>
      </c>
      <c r="H25" s="11"/>
      <c r="I25" s="5">
        <v>21</v>
      </c>
      <c r="J25" s="19">
        <v>1600</v>
      </c>
      <c r="K25" s="19">
        <v>0</v>
      </c>
      <c r="L25" s="11"/>
      <c r="M25" s="19" t="s">
        <v>89</v>
      </c>
      <c r="N25" s="4"/>
      <c r="O25" s="1"/>
      <c r="P25" s="1"/>
      <c r="Q25" s="1"/>
      <c r="R25" s="1"/>
      <c r="S25" s="16">
        <v>6</v>
      </c>
      <c r="T25" s="51">
        <v>13398</v>
      </c>
      <c r="U25" s="16">
        <v>4768</v>
      </c>
      <c r="V25" s="50">
        <f t="shared" si="0"/>
        <v>18166</v>
      </c>
      <c r="X25" s="16">
        <v>95</v>
      </c>
    </row>
    <row r="26" spans="1:26" x14ac:dyDescent="0.2">
      <c r="A26" s="5">
        <v>22</v>
      </c>
      <c r="B26" s="19">
        <v>3845</v>
      </c>
      <c r="C26" s="19">
        <v>1530</v>
      </c>
      <c r="D26" s="11"/>
      <c r="E26" s="5">
        <v>22</v>
      </c>
      <c r="F26" s="19">
        <v>20430</v>
      </c>
      <c r="G26" s="19">
        <v>11768</v>
      </c>
      <c r="H26" s="11"/>
      <c r="I26" s="5">
        <v>22</v>
      </c>
      <c r="J26" s="19">
        <v>18850</v>
      </c>
      <c r="K26" s="19">
        <v>0</v>
      </c>
      <c r="L26" s="1"/>
      <c r="M26" s="4"/>
      <c r="N26" s="4"/>
      <c r="O26" s="1"/>
      <c r="P26" s="1"/>
      <c r="Q26" s="1"/>
      <c r="R26" s="1"/>
      <c r="S26" s="16">
        <v>7</v>
      </c>
      <c r="T26" s="49">
        <f>7220+12823</f>
        <v>20043</v>
      </c>
      <c r="U26" s="16">
        <f>550+8020</f>
        <v>8570</v>
      </c>
      <c r="V26" s="50">
        <f t="shared" si="0"/>
        <v>28613</v>
      </c>
      <c r="X26" s="16">
        <v>40</v>
      </c>
    </row>
    <row r="27" spans="1:26" x14ac:dyDescent="0.2">
      <c r="A27" s="5">
        <v>23</v>
      </c>
      <c r="B27" s="19">
        <v>3670</v>
      </c>
      <c r="C27" s="19">
        <v>2168</v>
      </c>
      <c r="D27" s="11"/>
      <c r="E27" s="5">
        <v>23</v>
      </c>
      <c r="F27" s="19">
        <v>12955</v>
      </c>
      <c r="G27" s="19">
        <v>3750</v>
      </c>
      <c r="H27" s="11"/>
      <c r="I27" s="5">
        <v>23</v>
      </c>
      <c r="J27" s="19">
        <v>1100</v>
      </c>
      <c r="K27" s="19">
        <v>0</v>
      </c>
      <c r="L27" s="1"/>
      <c r="M27" s="4"/>
      <c r="N27" s="4"/>
      <c r="O27" s="1"/>
      <c r="P27" s="1"/>
      <c r="Q27" s="1"/>
      <c r="R27" s="1"/>
      <c r="S27" s="16">
        <v>8</v>
      </c>
      <c r="T27" s="49">
        <f>4805+159</f>
        <v>4964</v>
      </c>
      <c r="U27" s="16">
        <f>2520+2090</f>
        <v>4610</v>
      </c>
      <c r="V27" s="50">
        <f t="shared" si="0"/>
        <v>9574</v>
      </c>
      <c r="X27" s="50"/>
    </row>
    <row r="28" spans="1:26" x14ac:dyDescent="0.2">
      <c r="A28" s="5">
        <v>24</v>
      </c>
      <c r="B28" s="19">
        <v>3290</v>
      </c>
      <c r="C28" s="19">
        <v>2062</v>
      </c>
      <c r="D28" s="11"/>
      <c r="E28" s="5">
        <v>24</v>
      </c>
      <c r="F28" s="19">
        <v>30975</v>
      </c>
      <c r="G28" s="19">
        <v>16023</v>
      </c>
      <c r="H28" s="11"/>
      <c r="I28" s="5">
        <v>24</v>
      </c>
      <c r="J28" s="19">
        <v>3600</v>
      </c>
      <c r="K28" s="19">
        <v>0</v>
      </c>
      <c r="L28" s="1"/>
      <c r="M28" s="4"/>
      <c r="N28" s="4"/>
      <c r="O28" s="1"/>
      <c r="P28" s="11"/>
      <c r="Q28" s="11"/>
      <c r="R28" s="1"/>
      <c r="S28" s="16">
        <v>9</v>
      </c>
      <c r="T28" s="49">
        <f>4769+5131</f>
        <v>9900</v>
      </c>
      <c r="U28" s="53">
        <f>2080+6125</f>
        <v>8205</v>
      </c>
      <c r="V28" s="50">
        <f t="shared" si="0"/>
        <v>18105</v>
      </c>
      <c r="X28" s="50"/>
    </row>
    <row r="29" spans="1:26" x14ac:dyDescent="0.2">
      <c r="A29" s="5">
        <v>25</v>
      </c>
      <c r="B29" s="19">
        <v>0</v>
      </c>
      <c r="C29" s="19">
        <v>0</v>
      </c>
      <c r="D29" s="11"/>
      <c r="E29" s="5">
        <v>25</v>
      </c>
      <c r="F29" s="19">
        <v>10200</v>
      </c>
      <c r="G29" s="19">
        <v>8159</v>
      </c>
      <c r="H29" s="11"/>
      <c r="I29" s="5">
        <v>25</v>
      </c>
      <c r="J29" s="19">
        <v>2600</v>
      </c>
      <c r="K29" s="19">
        <v>0</v>
      </c>
      <c r="L29" s="1"/>
      <c r="M29" s="4"/>
      <c r="N29" s="4"/>
      <c r="O29" s="1"/>
      <c r="P29" s="11" t="s">
        <v>110</v>
      </c>
      <c r="Q29" s="1"/>
      <c r="R29" s="1"/>
      <c r="S29" s="16">
        <v>10</v>
      </c>
      <c r="T29" s="49">
        <f>12680+4980</f>
        <v>17660</v>
      </c>
      <c r="U29" s="50">
        <f>12879+240</f>
        <v>13119</v>
      </c>
      <c r="V29" s="50">
        <f t="shared" si="0"/>
        <v>30779</v>
      </c>
      <c r="X29" s="16">
        <v>18</v>
      </c>
    </row>
    <row r="30" spans="1:26" x14ac:dyDescent="0.2">
      <c r="A30" s="5">
        <v>26</v>
      </c>
      <c r="B30" s="19">
        <v>3474</v>
      </c>
      <c r="C30" s="19">
        <v>2156</v>
      </c>
      <c r="D30" s="11"/>
      <c r="E30" s="5">
        <v>26</v>
      </c>
      <c r="F30" s="19">
        <v>19450</v>
      </c>
      <c r="G30" s="19">
        <v>16369</v>
      </c>
      <c r="H30" s="11"/>
      <c r="I30" s="5">
        <v>26</v>
      </c>
      <c r="J30" s="19">
        <v>2700</v>
      </c>
      <c r="K30" s="19">
        <v>0</v>
      </c>
      <c r="L30" s="1"/>
      <c r="M30" s="12" t="s">
        <v>36</v>
      </c>
      <c r="N30" s="13">
        <f>SUM(N19:N29)</f>
        <v>89031</v>
      </c>
      <c r="O30" s="1"/>
      <c r="P30" s="1"/>
      <c r="Q30" s="11">
        <v>35192</v>
      </c>
      <c r="R30" s="1"/>
      <c r="S30" s="16">
        <v>11</v>
      </c>
      <c r="T30" s="51">
        <v>23390</v>
      </c>
      <c r="U30" s="16">
        <v>2845</v>
      </c>
      <c r="V30" s="50">
        <f t="shared" si="0"/>
        <v>26235</v>
      </c>
      <c r="X30" s="16">
        <v>20</v>
      </c>
    </row>
    <row r="31" spans="1:26" x14ac:dyDescent="0.2">
      <c r="A31" s="5">
        <v>27</v>
      </c>
      <c r="B31" s="19">
        <v>628</v>
      </c>
      <c r="C31" s="19">
        <v>3587</v>
      </c>
      <c r="D31" s="11"/>
      <c r="E31" s="5">
        <v>27</v>
      </c>
      <c r="F31" s="19">
        <v>26529</v>
      </c>
      <c r="G31" s="19">
        <v>6981</v>
      </c>
      <c r="H31" s="11"/>
      <c r="I31" s="5">
        <v>27</v>
      </c>
      <c r="J31" s="19">
        <v>3300</v>
      </c>
      <c r="K31" s="19">
        <v>0</v>
      </c>
      <c r="L31" s="1"/>
      <c r="M31" s="1"/>
      <c r="N31" s="1"/>
      <c r="O31" s="1"/>
      <c r="P31" s="1"/>
      <c r="Q31" s="1"/>
      <c r="R31" s="1"/>
      <c r="S31" s="16">
        <v>12</v>
      </c>
      <c r="T31" s="49">
        <f>41+7838</f>
        <v>7879</v>
      </c>
      <c r="U31" s="50">
        <f>3638+22870</f>
        <v>26508</v>
      </c>
      <c r="V31" s="50">
        <f t="shared" si="0"/>
        <v>34387</v>
      </c>
      <c r="X31" s="50">
        <f>70+12</f>
        <v>82</v>
      </c>
    </row>
    <row r="32" spans="1:26" x14ac:dyDescent="0.2">
      <c r="A32" s="5">
        <v>28</v>
      </c>
      <c r="B32" s="19">
        <v>2475</v>
      </c>
      <c r="C32" s="19">
        <f>1685+1166</f>
        <v>2851</v>
      </c>
      <c r="D32" s="11"/>
      <c r="E32" s="5">
        <v>28</v>
      </c>
      <c r="F32" s="19">
        <v>32085</v>
      </c>
      <c r="G32" s="19">
        <f>12866-1166</f>
        <v>11700</v>
      </c>
      <c r="H32" s="1"/>
      <c r="I32" s="5">
        <v>28</v>
      </c>
      <c r="J32" s="19">
        <v>3000</v>
      </c>
      <c r="K32" s="19">
        <v>0</v>
      </c>
      <c r="L32" s="1"/>
      <c r="M32" s="81" t="s">
        <v>53</v>
      </c>
      <c r="N32" s="79"/>
      <c r="O32" s="1"/>
      <c r="P32" s="1"/>
      <c r="Q32" s="1"/>
      <c r="R32" s="1"/>
      <c r="S32" s="16">
        <v>13</v>
      </c>
      <c r="T32" s="49">
        <f>482+154</f>
        <v>636</v>
      </c>
      <c r="U32" s="50">
        <f>8370+824</f>
        <v>9194</v>
      </c>
      <c r="V32" s="50">
        <f t="shared" si="0"/>
        <v>9830</v>
      </c>
      <c r="X32" s="16">
        <v>116</v>
      </c>
    </row>
    <row r="33" spans="1:24" x14ac:dyDescent="0.2">
      <c r="A33" s="5">
        <v>29</v>
      </c>
      <c r="B33" s="19">
        <v>2330</v>
      </c>
      <c r="C33" s="19">
        <v>4139</v>
      </c>
      <c r="D33" s="1"/>
      <c r="E33" s="5">
        <v>29</v>
      </c>
      <c r="F33" s="19">
        <v>21615</v>
      </c>
      <c r="G33" s="19">
        <v>11994</v>
      </c>
      <c r="H33" s="1"/>
      <c r="I33" s="5">
        <v>29</v>
      </c>
      <c r="J33" s="19">
        <v>5000</v>
      </c>
      <c r="K33" s="19">
        <v>0</v>
      </c>
      <c r="L33" s="1"/>
      <c r="M33" s="2" t="s">
        <v>39</v>
      </c>
      <c r="N33" s="3" t="s">
        <v>6</v>
      </c>
      <c r="O33" s="1"/>
      <c r="P33" s="1"/>
      <c r="Q33" s="1"/>
      <c r="R33" s="1"/>
      <c r="S33" s="16">
        <v>14</v>
      </c>
      <c r="T33" s="51">
        <f>18947+355</f>
        <v>19302</v>
      </c>
      <c r="U33" s="50">
        <f>2890+800</f>
        <v>3690</v>
      </c>
      <c r="V33" s="50">
        <f t="shared" si="0"/>
        <v>22992</v>
      </c>
      <c r="X33" s="16">
        <v>120</v>
      </c>
    </row>
    <row r="34" spans="1:24" x14ac:dyDescent="0.2">
      <c r="A34" s="5">
        <v>30</v>
      </c>
      <c r="B34" s="19">
        <v>7268</v>
      </c>
      <c r="C34" s="19">
        <v>6591</v>
      </c>
      <c r="D34" s="11"/>
      <c r="E34" s="5">
        <v>30</v>
      </c>
      <c r="F34" s="19">
        <v>38410</v>
      </c>
      <c r="G34" s="19">
        <v>9515</v>
      </c>
      <c r="H34" s="1"/>
      <c r="I34" s="5">
        <v>30</v>
      </c>
      <c r="J34" s="19">
        <v>24700</v>
      </c>
      <c r="K34" s="19">
        <v>0</v>
      </c>
      <c r="L34" s="1"/>
      <c r="M34" s="19" t="s">
        <v>96</v>
      </c>
      <c r="N34" s="19">
        <v>17000</v>
      </c>
      <c r="O34" s="28"/>
      <c r="P34" s="1">
        <f>B36+F36+J36-Z17</f>
        <v>594140</v>
      </c>
      <c r="Q34" s="1"/>
      <c r="R34" s="1"/>
      <c r="S34" s="16">
        <v>15</v>
      </c>
      <c r="T34" s="49">
        <f>1901+4846</f>
        <v>6747</v>
      </c>
      <c r="U34" s="50">
        <f>1640+5805</f>
        <v>7445</v>
      </c>
      <c r="V34" s="50">
        <f t="shared" si="0"/>
        <v>14192</v>
      </c>
      <c r="X34" s="50"/>
    </row>
    <row r="35" spans="1:24" x14ac:dyDescent="0.2">
      <c r="A35" s="12" t="s">
        <v>36</v>
      </c>
      <c r="B35" s="13">
        <f t="shared" ref="B35:C35" si="1">SUM(B5:B34)+B37</f>
        <v>119388</v>
      </c>
      <c r="C35" s="13">
        <f t="shared" si="1"/>
        <v>123139</v>
      </c>
      <c r="D35" s="1"/>
      <c r="E35" s="12" t="s">
        <v>36</v>
      </c>
      <c r="F35" s="13">
        <f t="shared" ref="F35:G35" si="2">SUM(F5:F34)+F37</f>
        <v>788637</v>
      </c>
      <c r="G35" s="13">
        <f t="shared" si="2"/>
        <v>374346</v>
      </c>
      <c r="H35" s="1"/>
      <c r="I35" s="12" t="s">
        <v>36</v>
      </c>
      <c r="J35" s="13">
        <f t="shared" ref="J35:K35" si="3">SUM(J5:J34)+J37</f>
        <v>252600</v>
      </c>
      <c r="K35" s="13">
        <f t="shared" si="3"/>
        <v>0</v>
      </c>
      <c r="L35" s="1"/>
      <c r="M35" s="19" t="s">
        <v>102</v>
      </c>
      <c r="N35" s="19">
        <v>15000</v>
      </c>
      <c r="O35" s="1"/>
      <c r="P35" s="1"/>
      <c r="Q35" s="1"/>
      <c r="R35" s="1"/>
      <c r="S35" s="16">
        <v>16</v>
      </c>
      <c r="T35" s="51">
        <v>18591</v>
      </c>
      <c r="U35" s="16">
        <v>17906</v>
      </c>
      <c r="V35" s="50">
        <f t="shared" si="0"/>
        <v>36497</v>
      </c>
      <c r="X35" s="50"/>
    </row>
    <row r="36" spans="1:24" x14ac:dyDescent="0.2">
      <c r="A36" s="3" t="s">
        <v>56</v>
      </c>
      <c r="B36" s="82">
        <f>B35-C35</f>
        <v>-3751</v>
      </c>
      <c r="C36" s="79"/>
      <c r="D36" s="1"/>
      <c r="E36" s="3" t="s">
        <v>56</v>
      </c>
      <c r="F36" s="82">
        <f>F35-G35</f>
        <v>414291</v>
      </c>
      <c r="G36" s="79"/>
      <c r="H36" s="1"/>
      <c r="I36" s="3" t="s">
        <v>56</v>
      </c>
      <c r="J36" s="82">
        <f>J35-K35</f>
        <v>252600</v>
      </c>
      <c r="K36" s="79"/>
      <c r="L36" s="1"/>
      <c r="M36" s="19" t="s">
        <v>111</v>
      </c>
      <c r="N36" s="19">
        <v>33611</v>
      </c>
      <c r="O36" s="1"/>
      <c r="P36" s="1"/>
      <c r="Q36" s="1"/>
      <c r="R36" s="1"/>
      <c r="S36" s="16">
        <v>17</v>
      </c>
      <c r="T36" s="51">
        <v>3218</v>
      </c>
      <c r="U36" s="50">
        <f>1160+8380</f>
        <v>9540</v>
      </c>
      <c r="V36" s="50">
        <f t="shared" si="0"/>
        <v>12758</v>
      </c>
      <c r="X36" s="16">
        <v>40</v>
      </c>
    </row>
    <row r="37" spans="1:24" x14ac:dyDescent="0.2">
      <c r="A37" s="5">
        <v>31</v>
      </c>
      <c r="B37" s="19"/>
      <c r="C37" s="19"/>
      <c r="D37" s="11"/>
      <c r="E37" s="5">
        <v>31</v>
      </c>
      <c r="F37" s="19"/>
      <c r="G37" s="19"/>
      <c r="H37" s="1"/>
      <c r="I37" s="5">
        <v>31</v>
      </c>
      <c r="J37" s="19"/>
      <c r="K37" s="19"/>
      <c r="L37" s="1"/>
      <c r="M37" s="19" t="s">
        <v>112</v>
      </c>
      <c r="N37" s="19">
        <v>3600</v>
      </c>
      <c r="O37" s="1"/>
      <c r="P37" s="1"/>
      <c r="Q37" s="1"/>
      <c r="R37" s="11" t="s">
        <v>113</v>
      </c>
      <c r="S37" s="16">
        <v>18</v>
      </c>
      <c r="T37" s="51">
        <v>11924</v>
      </c>
      <c r="U37" s="16">
        <v>5790</v>
      </c>
      <c r="V37" s="50">
        <f t="shared" si="0"/>
        <v>17714</v>
      </c>
      <c r="X37" s="16">
        <v>70</v>
      </c>
    </row>
    <row r="38" spans="1:2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4" t="s">
        <v>114</v>
      </c>
      <c r="N38" s="54">
        <v>3000</v>
      </c>
      <c r="O38" s="1"/>
      <c r="P38" s="1"/>
      <c r="Q38" s="1"/>
      <c r="R38" s="1"/>
      <c r="S38" s="16">
        <v>19</v>
      </c>
      <c r="T38" s="55">
        <f>9767+433</f>
        <v>10200</v>
      </c>
      <c r="U38" s="16">
        <v>11780</v>
      </c>
      <c r="V38" s="50">
        <f t="shared" si="0"/>
        <v>21980</v>
      </c>
      <c r="X38" s="16">
        <v>40</v>
      </c>
    </row>
    <row r="39" spans="1:2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9" t="s">
        <v>115</v>
      </c>
      <c r="N39" s="19">
        <f>23743+9190</f>
        <v>32933</v>
      </c>
      <c r="O39" s="1"/>
      <c r="P39" s="1"/>
      <c r="Q39" s="1"/>
      <c r="R39" s="1"/>
      <c r="S39" s="16">
        <v>20</v>
      </c>
      <c r="T39" s="55">
        <f>2965+90</f>
        <v>3055</v>
      </c>
      <c r="U39" s="16">
        <f>6650+450</f>
        <v>7100</v>
      </c>
      <c r="V39" s="50">
        <f t="shared" si="0"/>
        <v>10155</v>
      </c>
      <c r="X39" s="16">
        <v>40</v>
      </c>
    </row>
    <row r="40" spans="1:2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"/>
      <c r="N40" s="4"/>
      <c r="O40" s="1"/>
      <c r="P40" s="1"/>
      <c r="Q40" s="1"/>
      <c r="R40" s="1"/>
      <c r="S40" s="16">
        <v>21</v>
      </c>
      <c r="T40" s="55">
        <f>357+2280</f>
        <v>2637</v>
      </c>
      <c r="U40" s="50">
        <f>4490+950</f>
        <v>5440</v>
      </c>
      <c r="V40" s="50">
        <f t="shared" si="0"/>
        <v>8077</v>
      </c>
      <c r="X40" s="50"/>
    </row>
    <row r="41" spans="1:2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4"/>
      <c r="N41" s="4"/>
      <c r="O41" s="1"/>
      <c r="P41" s="1"/>
      <c r="Q41" s="1"/>
      <c r="R41" s="56"/>
      <c r="S41" s="16">
        <v>22</v>
      </c>
      <c r="T41" s="55">
        <f>13872+3845</f>
        <v>17717</v>
      </c>
      <c r="U41" s="50">
        <f>12100+0</f>
        <v>12100</v>
      </c>
      <c r="V41" s="50">
        <f t="shared" si="0"/>
        <v>29817</v>
      </c>
      <c r="X41" s="16">
        <v>10</v>
      </c>
    </row>
    <row r="42" spans="1:2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4"/>
      <c r="N42" s="4"/>
      <c r="O42" s="1"/>
      <c r="P42" s="1"/>
      <c r="Q42" s="1"/>
      <c r="R42" s="1"/>
      <c r="S42" s="16">
        <v>23</v>
      </c>
      <c r="T42" s="55">
        <f>177+3262</f>
        <v>3439</v>
      </c>
      <c r="U42" s="50">
        <f>4660+390</f>
        <v>5050</v>
      </c>
      <c r="V42" s="50">
        <f t="shared" si="0"/>
        <v>8489</v>
      </c>
      <c r="X42" s="16">
        <v>18</v>
      </c>
    </row>
    <row r="43" spans="1:24" x14ac:dyDescent="0.2">
      <c r="A43" s="1"/>
      <c r="B43" s="1">
        <f>B35+F35+J35</f>
        <v>1160625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4"/>
      <c r="N43" s="4"/>
      <c r="O43" s="1"/>
      <c r="P43" s="1"/>
      <c r="Q43" s="1"/>
      <c r="R43" s="1"/>
      <c r="S43" s="16">
        <v>24</v>
      </c>
      <c r="T43" s="55">
        <f>8730+3290</f>
        <v>12020</v>
      </c>
      <c r="U43" s="50">
        <f>5500+0</f>
        <v>5500</v>
      </c>
      <c r="V43" s="50">
        <f t="shared" si="0"/>
        <v>17520</v>
      </c>
      <c r="X43" s="16">
        <v>110</v>
      </c>
    </row>
    <row r="44" spans="1:24" x14ac:dyDescent="0.2">
      <c r="A44" s="1"/>
      <c r="B44" s="1">
        <f>C35+G35</f>
        <v>497485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4"/>
      <c r="N44" s="4"/>
      <c r="O44" s="1"/>
      <c r="P44" s="1"/>
      <c r="Q44" s="1"/>
      <c r="R44" s="1"/>
      <c r="S44" s="16">
        <v>25</v>
      </c>
      <c r="T44" s="57">
        <v>1321</v>
      </c>
      <c r="U44" s="16">
        <v>2700</v>
      </c>
      <c r="V44" s="50">
        <f t="shared" si="0"/>
        <v>4021</v>
      </c>
      <c r="X44" s="16">
        <v>120</v>
      </c>
    </row>
    <row r="45" spans="1:24" x14ac:dyDescent="0.2">
      <c r="A45" s="1"/>
      <c r="B45" s="1">
        <f>B44/B43</f>
        <v>0.4286354334948842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4"/>
      <c r="N45" s="4"/>
      <c r="O45" s="1"/>
      <c r="P45" s="1"/>
      <c r="Q45" s="1"/>
      <c r="R45" s="1"/>
      <c r="S45" s="16">
        <v>26</v>
      </c>
      <c r="T45" s="55">
        <f>198+211</f>
        <v>409</v>
      </c>
      <c r="U45" s="16">
        <v>4170</v>
      </c>
      <c r="V45" s="50">
        <f t="shared" si="0"/>
        <v>4579</v>
      </c>
      <c r="X45" s="50"/>
    </row>
    <row r="46" spans="1:2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4"/>
      <c r="N46" s="4"/>
      <c r="O46" s="1"/>
      <c r="P46" s="1"/>
      <c r="Q46" s="1"/>
      <c r="R46" s="1"/>
      <c r="S46" s="16">
        <v>27</v>
      </c>
      <c r="T46" s="55">
        <f>14806+168</f>
        <v>14974</v>
      </c>
      <c r="U46" s="50">
        <f>460+4455</f>
        <v>4915</v>
      </c>
      <c r="V46" s="50">
        <f t="shared" si="0"/>
        <v>19889</v>
      </c>
      <c r="X46" s="50"/>
    </row>
    <row r="47" spans="1:2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4"/>
      <c r="N47" s="4"/>
      <c r="O47" s="1"/>
      <c r="P47" s="1"/>
      <c r="Q47" s="1"/>
      <c r="R47" s="1"/>
      <c r="S47" s="16">
        <v>28</v>
      </c>
      <c r="T47" s="55">
        <f>11169+2475</f>
        <v>13644</v>
      </c>
      <c r="U47" s="16">
        <v>8330</v>
      </c>
      <c r="V47" s="50">
        <f t="shared" si="0"/>
        <v>21974</v>
      </c>
      <c r="X47" s="16">
        <v>35</v>
      </c>
    </row>
    <row r="48" spans="1:2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4"/>
      <c r="N48" s="4"/>
      <c r="O48" s="1"/>
      <c r="P48" s="1"/>
      <c r="Q48" s="1"/>
      <c r="R48" s="1"/>
      <c r="S48" s="16">
        <v>29</v>
      </c>
      <c r="T48" s="55">
        <f>542+500</f>
        <v>1042</v>
      </c>
      <c r="U48" s="50">
        <f>9910+1830</f>
        <v>11740</v>
      </c>
      <c r="V48" s="50">
        <f t="shared" si="0"/>
        <v>12782</v>
      </c>
      <c r="X48" s="16">
        <v>30</v>
      </c>
    </row>
    <row r="49" spans="1:2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"/>
      <c r="N49" s="4"/>
      <c r="O49" s="1"/>
      <c r="P49" s="1"/>
      <c r="Q49" s="1"/>
      <c r="R49" s="1"/>
      <c r="S49" s="16">
        <v>30</v>
      </c>
      <c r="T49" s="49">
        <f>43054+6818</f>
        <v>49872</v>
      </c>
      <c r="U49" s="50">
        <f>3450+450</f>
        <v>3900</v>
      </c>
      <c r="V49" s="50">
        <f t="shared" si="0"/>
        <v>53772</v>
      </c>
      <c r="X49" s="50"/>
    </row>
    <row r="50" spans="1:2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4"/>
      <c r="N50" s="4"/>
      <c r="O50" s="1"/>
      <c r="P50" s="1"/>
      <c r="Q50" s="1"/>
      <c r="R50" s="1"/>
      <c r="S50" s="58" t="s">
        <v>116</v>
      </c>
      <c r="T50" s="59">
        <f t="shared" ref="T50:V50" si="4">SUM(T20:T49)</f>
        <v>356251</v>
      </c>
      <c r="U50" s="59">
        <f t="shared" si="4"/>
        <v>235270</v>
      </c>
      <c r="V50" s="59">
        <f t="shared" si="4"/>
        <v>591521</v>
      </c>
      <c r="X50" s="50"/>
    </row>
    <row r="51" spans="1:2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4"/>
      <c r="N51" s="4"/>
      <c r="O51" s="1"/>
      <c r="P51" s="1"/>
      <c r="Q51" s="1"/>
      <c r="R51" s="1"/>
      <c r="X51" s="42">
        <f>SUM(X20:X50)</f>
        <v>1204</v>
      </c>
    </row>
    <row r="52" spans="1:2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4"/>
      <c r="O52" s="1"/>
      <c r="P52" s="1"/>
      <c r="Q52" s="1"/>
      <c r="R52" s="1"/>
    </row>
    <row r="53" spans="1:2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4"/>
      <c r="O53" s="1"/>
      <c r="P53" s="1"/>
      <c r="Q53" s="1"/>
      <c r="R53" s="1"/>
    </row>
    <row r="54" spans="1:2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4"/>
      <c r="O54" s="1"/>
      <c r="P54" s="1"/>
      <c r="Q54" s="1"/>
      <c r="R54" s="1"/>
    </row>
    <row r="55" spans="1:2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 t="s">
        <v>36</v>
      </c>
      <c r="N55" s="5">
        <f>SUM(N34:N54)</f>
        <v>105144</v>
      </c>
      <c r="O55" s="1"/>
      <c r="P55" s="1"/>
      <c r="Q55" s="1"/>
      <c r="R55" s="1"/>
    </row>
  </sheetData>
  <mergeCells count="15">
    <mergeCell ref="X4:Z4"/>
    <mergeCell ref="B36:C36"/>
    <mergeCell ref="F36:G36"/>
    <mergeCell ref="J36:K36"/>
    <mergeCell ref="A1:P1"/>
    <mergeCell ref="A3:C3"/>
    <mergeCell ref="E3:G3"/>
    <mergeCell ref="I3:K3"/>
    <mergeCell ref="P4:R4"/>
    <mergeCell ref="M2:N2"/>
    <mergeCell ref="M17:N17"/>
    <mergeCell ref="P17:Q17"/>
    <mergeCell ref="S18:V18"/>
    <mergeCell ref="M32:N32"/>
    <mergeCell ref="T4:V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67"/>
  <sheetViews>
    <sheetView topLeftCell="A46" workbookViewId="0">
      <selection activeCell="N55" sqref="N55"/>
    </sheetView>
  </sheetViews>
  <sheetFormatPr defaultColWidth="12.5703125" defaultRowHeight="15.75" customHeight="1" x14ac:dyDescent="0.2"/>
  <cols>
    <col min="1" max="2" width="6.42578125" customWidth="1"/>
    <col min="3" max="3" width="6.5703125" customWidth="1"/>
    <col min="4" max="4" width="2.85546875" customWidth="1"/>
    <col min="5" max="5" width="6.140625" customWidth="1"/>
    <col min="6" max="6" width="6.42578125" customWidth="1"/>
    <col min="7" max="7" width="6.5703125" customWidth="1"/>
    <col min="8" max="8" width="5.42578125" customWidth="1"/>
    <col min="9" max="9" width="6.140625" customWidth="1"/>
    <col min="10" max="10" width="6.42578125" customWidth="1"/>
    <col min="11" max="11" width="6.5703125" customWidth="1"/>
    <col min="12" max="12" width="6" customWidth="1"/>
    <col min="15" max="15" width="5.5703125" customWidth="1"/>
    <col min="16" max="16" width="10.7109375" customWidth="1"/>
    <col min="17" max="17" width="7.42578125" customWidth="1"/>
    <col min="18" max="18" width="9.85546875" customWidth="1"/>
    <col min="19" max="19" width="7.42578125" customWidth="1"/>
    <col min="20" max="20" width="6.5703125" customWidth="1"/>
    <col min="21" max="21" width="7.140625" customWidth="1"/>
    <col min="22" max="22" width="6.7109375" customWidth="1"/>
    <col min="23" max="23" width="6.42578125" customWidth="1"/>
    <col min="24" max="24" width="6.28515625" customWidth="1"/>
    <col min="25" max="25" width="6.85546875" customWidth="1"/>
    <col min="26" max="26" width="9.42578125" customWidth="1"/>
  </cols>
  <sheetData>
    <row r="1" spans="1:26" x14ac:dyDescent="0.2">
      <c r="A1" s="80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79"/>
      <c r="Q1" s="1"/>
      <c r="R1" s="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5" t="s">
        <v>1</v>
      </c>
      <c r="N2" s="79"/>
      <c r="O2" s="1"/>
      <c r="P2" s="1"/>
      <c r="Q2" s="1"/>
      <c r="R2" s="1"/>
    </row>
    <row r="3" spans="1:26" x14ac:dyDescent="0.2">
      <c r="A3" s="86" t="s">
        <v>2</v>
      </c>
      <c r="B3" s="84"/>
      <c r="C3" s="79"/>
      <c r="D3" s="1"/>
      <c r="E3" s="87" t="s">
        <v>3</v>
      </c>
      <c r="F3" s="84"/>
      <c r="G3" s="79"/>
      <c r="H3" s="1"/>
      <c r="I3" s="88" t="s">
        <v>4</v>
      </c>
      <c r="J3" s="84"/>
      <c r="K3" s="79"/>
      <c r="L3" s="1"/>
      <c r="M3" s="2" t="s">
        <v>5</v>
      </c>
      <c r="N3" s="3" t="s">
        <v>6</v>
      </c>
      <c r="O3" s="1"/>
      <c r="P3" s="1"/>
      <c r="Q3" s="1"/>
      <c r="R3" s="1"/>
    </row>
    <row r="4" spans="1:26" x14ac:dyDescent="0.2">
      <c r="A4" s="4" t="s">
        <v>7</v>
      </c>
      <c r="B4" s="4" t="s">
        <v>8</v>
      </c>
      <c r="C4" s="4" t="s">
        <v>9</v>
      </c>
      <c r="D4" s="1"/>
      <c r="E4" s="4" t="s">
        <v>7</v>
      </c>
      <c r="F4" s="4" t="s">
        <v>8</v>
      </c>
      <c r="G4" s="4" t="s">
        <v>9</v>
      </c>
      <c r="H4" s="1"/>
      <c r="I4" s="4" t="s">
        <v>7</v>
      </c>
      <c r="J4" s="4" t="s">
        <v>8</v>
      </c>
      <c r="K4" s="4" t="s">
        <v>9</v>
      </c>
      <c r="L4" s="1"/>
      <c r="M4" s="16" t="s">
        <v>69</v>
      </c>
      <c r="N4" s="16">
        <v>15000</v>
      </c>
      <c r="O4" s="11"/>
      <c r="P4" s="83" t="s">
        <v>11</v>
      </c>
      <c r="Q4" s="84"/>
      <c r="R4" s="79"/>
      <c r="T4" s="83" t="s">
        <v>11</v>
      </c>
      <c r="U4" s="84"/>
      <c r="V4" s="79"/>
      <c r="X4" s="83" t="s">
        <v>11</v>
      </c>
      <c r="Y4" s="84"/>
      <c r="Z4" s="79"/>
    </row>
    <row r="5" spans="1:26" x14ac:dyDescent="0.2">
      <c r="A5" s="5">
        <v>1</v>
      </c>
      <c r="B5" s="20">
        <v>3330</v>
      </c>
      <c r="C5" s="20">
        <v>4012</v>
      </c>
      <c r="D5" s="11"/>
      <c r="E5" s="5">
        <v>1</v>
      </c>
      <c r="F5" s="20">
        <v>21725</v>
      </c>
      <c r="G5" s="20">
        <v>8727</v>
      </c>
      <c r="H5" s="7"/>
      <c r="I5" s="5">
        <v>1</v>
      </c>
      <c r="J5" s="20">
        <v>4900</v>
      </c>
      <c r="K5" s="20">
        <v>0</v>
      </c>
      <c r="L5" s="1"/>
      <c r="M5" s="4" t="s">
        <v>12</v>
      </c>
      <c r="N5" s="20">
        <v>18000</v>
      </c>
      <c r="O5" s="11">
        <v>12000</v>
      </c>
      <c r="P5" s="4" t="s">
        <v>13</v>
      </c>
      <c r="Q5" s="4" t="s">
        <v>14</v>
      </c>
      <c r="R5" s="4" t="s">
        <v>6</v>
      </c>
      <c r="T5" s="4" t="s">
        <v>13</v>
      </c>
      <c r="U5" s="4" t="s">
        <v>14</v>
      </c>
      <c r="V5" s="4" t="s">
        <v>6</v>
      </c>
      <c r="X5" s="4" t="s">
        <v>13</v>
      </c>
      <c r="Y5" s="4" t="s">
        <v>14</v>
      </c>
      <c r="Z5" s="4" t="s">
        <v>6</v>
      </c>
    </row>
    <row r="6" spans="1:26" x14ac:dyDescent="0.2">
      <c r="A6" s="5">
        <v>2</v>
      </c>
      <c r="B6" s="20">
        <v>0</v>
      </c>
      <c r="C6" s="20">
        <v>0</v>
      </c>
      <c r="D6" s="29"/>
      <c r="E6" s="5">
        <v>2</v>
      </c>
      <c r="F6" s="20">
        <v>11440</v>
      </c>
      <c r="G6" s="20">
        <v>8835</v>
      </c>
      <c r="H6" s="7"/>
      <c r="I6" s="5">
        <v>2</v>
      </c>
      <c r="J6" s="20">
        <v>800</v>
      </c>
      <c r="K6" s="20">
        <v>0</v>
      </c>
      <c r="L6" s="11">
        <v>21000</v>
      </c>
      <c r="M6" s="4" t="s">
        <v>15</v>
      </c>
      <c r="N6" s="20">
        <v>15000</v>
      </c>
      <c r="O6" s="11">
        <v>11500</v>
      </c>
      <c r="P6" s="23">
        <v>44682</v>
      </c>
      <c r="Q6" s="24" t="s">
        <v>15</v>
      </c>
      <c r="R6" s="22">
        <v>500</v>
      </c>
      <c r="T6" s="18">
        <v>44690</v>
      </c>
      <c r="U6" s="19" t="s">
        <v>117</v>
      </c>
      <c r="V6" s="20">
        <v>5000</v>
      </c>
      <c r="X6" s="18">
        <v>44700</v>
      </c>
      <c r="Y6" s="19" t="s">
        <v>118</v>
      </c>
      <c r="Z6" s="20">
        <v>2000</v>
      </c>
    </row>
    <row r="7" spans="1:26" x14ac:dyDescent="0.2">
      <c r="A7" s="5">
        <v>3</v>
      </c>
      <c r="B7" s="20">
        <v>6695</v>
      </c>
      <c r="C7" s="20">
        <v>2697</v>
      </c>
      <c r="D7" s="7"/>
      <c r="E7" s="5">
        <v>3</v>
      </c>
      <c r="F7" s="20">
        <v>16895</v>
      </c>
      <c r="G7" s="20">
        <v>4928</v>
      </c>
      <c r="H7" s="7"/>
      <c r="I7" s="5">
        <v>3</v>
      </c>
      <c r="J7" s="20">
        <v>1000</v>
      </c>
      <c r="K7" s="20">
        <v>0</v>
      </c>
      <c r="L7" s="1"/>
      <c r="M7" s="4" t="s">
        <v>19</v>
      </c>
      <c r="N7" s="20">
        <v>13000</v>
      </c>
      <c r="O7" s="11">
        <v>-4000</v>
      </c>
      <c r="P7" s="30">
        <v>44682</v>
      </c>
      <c r="Q7" s="24" t="s">
        <v>119</v>
      </c>
      <c r="R7" s="24">
        <v>1000</v>
      </c>
      <c r="T7" s="21">
        <v>44691</v>
      </c>
      <c r="U7" s="19" t="s">
        <v>117</v>
      </c>
      <c r="V7" s="19">
        <v>2500</v>
      </c>
      <c r="X7" s="18">
        <v>44700</v>
      </c>
      <c r="Y7" s="19" t="s">
        <v>28</v>
      </c>
      <c r="Z7" s="19">
        <v>2000</v>
      </c>
    </row>
    <row r="8" spans="1:26" x14ac:dyDescent="0.2">
      <c r="A8" s="5">
        <v>4</v>
      </c>
      <c r="B8" s="19">
        <v>1455</v>
      </c>
      <c r="C8" s="19">
        <v>4052</v>
      </c>
      <c r="D8" s="11"/>
      <c r="E8" s="5">
        <v>4</v>
      </c>
      <c r="F8" s="19">
        <v>17470</v>
      </c>
      <c r="G8" s="19">
        <v>6239</v>
      </c>
      <c r="H8" s="11"/>
      <c r="I8" s="5">
        <v>4</v>
      </c>
      <c r="J8" s="19">
        <v>10800</v>
      </c>
      <c r="K8" s="19">
        <v>0</v>
      </c>
      <c r="L8" s="11">
        <v>11000</v>
      </c>
      <c r="M8" s="4" t="s">
        <v>22</v>
      </c>
      <c r="N8" s="20">
        <v>13000</v>
      </c>
      <c r="O8" s="11">
        <v>-2000</v>
      </c>
      <c r="P8" s="30">
        <v>44682</v>
      </c>
      <c r="Q8" s="24" t="s">
        <v>120</v>
      </c>
      <c r="R8" s="24">
        <v>500</v>
      </c>
      <c r="T8" s="21">
        <v>44692</v>
      </c>
      <c r="U8" s="19" t="s">
        <v>15</v>
      </c>
      <c r="V8" s="19">
        <v>2000</v>
      </c>
      <c r="X8" s="21">
        <v>44702</v>
      </c>
      <c r="Y8" s="19" t="s">
        <v>121</v>
      </c>
      <c r="Z8" s="19">
        <v>1000</v>
      </c>
    </row>
    <row r="9" spans="1:26" x14ac:dyDescent="0.2">
      <c r="A9" s="5">
        <v>5</v>
      </c>
      <c r="B9" s="19">
        <v>2030</v>
      </c>
      <c r="C9" s="19">
        <v>2048</v>
      </c>
      <c r="D9" s="11"/>
      <c r="E9" s="5">
        <v>5</v>
      </c>
      <c r="F9" s="19">
        <v>24960</v>
      </c>
      <c r="G9" s="19">
        <v>6143</v>
      </c>
      <c r="H9" s="11"/>
      <c r="I9" s="5">
        <v>5</v>
      </c>
      <c r="J9" s="19">
        <v>7200</v>
      </c>
      <c r="K9" s="19">
        <v>0</v>
      </c>
      <c r="L9" s="1"/>
      <c r="M9" s="4" t="s">
        <v>24</v>
      </c>
      <c r="N9" s="20">
        <v>7000</v>
      </c>
      <c r="O9" s="1"/>
      <c r="P9" s="30">
        <v>44685</v>
      </c>
      <c r="Q9" s="24" t="s">
        <v>15</v>
      </c>
      <c r="R9" s="24">
        <v>500</v>
      </c>
      <c r="T9" s="21">
        <v>44693</v>
      </c>
      <c r="U9" s="19" t="s">
        <v>15</v>
      </c>
      <c r="V9" s="19">
        <v>2000</v>
      </c>
      <c r="X9" s="21">
        <v>44702</v>
      </c>
      <c r="Y9" s="19" t="s">
        <v>119</v>
      </c>
      <c r="Z9" s="19">
        <v>1000</v>
      </c>
    </row>
    <row r="10" spans="1:26" x14ac:dyDescent="0.2">
      <c r="A10" s="5">
        <v>6</v>
      </c>
      <c r="B10" s="19">
        <v>1160</v>
      </c>
      <c r="C10" s="19">
        <v>1537</v>
      </c>
      <c r="D10" s="11"/>
      <c r="E10" s="5">
        <v>6</v>
      </c>
      <c r="F10" s="19">
        <v>15965</v>
      </c>
      <c r="G10" s="19">
        <v>6617</v>
      </c>
      <c r="H10" s="11"/>
      <c r="I10" s="5">
        <v>6</v>
      </c>
      <c r="J10" s="19">
        <v>2900</v>
      </c>
      <c r="K10" s="19">
        <v>0</v>
      </c>
      <c r="L10" s="1"/>
      <c r="M10" s="4" t="s">
        <v>26</v>
      </c>
      <c r="N10" s="20">
        <v>5000</v>
      </c>
      <c r="O10" s="11">
        <v>5000</v>
      </c>
      <c r="P10" s="21">
        <v>44687</v>
      </c>
      <c r="Q10" s="19" t="s">
        <v>15</v>
      </c>
      <c r="R10" s="19">
        <v>2500</v>
      </c>
      <c r="T10" s="21">
        <v>44696</v>
      </c>
      <c r="U10" s="19" t="s">
        <v>15</v>
      </c>
      <c r="V10" s="19">
        <v>500</v>
      </c>
      <c r="X10" s="21">
        <v>44702</v>
      </c>
      <c r="Y10" s="19" t="s">
        <v>15</v>
      </c>
      <c r="Z10" s="19">
        <v>1500</v>
      </c>
    </row>
    <row r="11" spans="1:26" x14ac:dyDescent="0.2">
      <c r="A11" s="5">
        <v>7</v>
      </c>
      <c r="B11" s="19">
        <v>1940</v>
      </c>
      <c r="C11" s="19">
        <v>1879</v>
      </c>
      <c r="D11" s="11"/>
      <c r="E11" s="5">
        <v>7</v>
      </c>
      <c r="F11" s="19">
        <v>13156</v>
      </c>
      <c r="G11" s="19">
        <v>10045</v>
      </c>
      <c r="H11" s="11"/>
      <c r="I11" s="5">
        <v>7</v>
      </c>
      <c r="J11" s="19">
        <v>3600</v>
      </c>
      <c r="K11" s="19">
        <v>0</v>
      </c>
      <c r="L11" s="1"/>
      <c r="M11" s="4" t="s">
        <v>29</v>
      </c>
      <c r="N11" s="20">
        <v>12000</v>
      </c>
      <c r="O11" s="40">
        <v>5000</v>
      </c>
      <c r="P11" s="21">
        <v>44689</v>
      </c>
      <c r="Q11" s="19" t="s">
        <v>92</v>
      </c>
      <c r="R11" s="19">
        <v>5000</v>
      </c>
      <c r="T11" s="21">
        <v>44697</v>
      </c>
      <c r="U11" s="19" t="s">
        <v>28</v>
      </c>
      <c r="V11" s="19">
        <v>2000</v>
      </c>
      <c r="X11" s="21">
        <v>44703</v>
      </c>
      <c r="Y11" s="19" t="s">
        <v>117</v>
      </c>
      <c r="Z11" s="19">
        <v>1000</v>
      </c>
    </row>
    <row r="12" spans="1:26" x14ac:dyDescent="0.2">
      <c r="A12" s="5">
        <v>8</v>
      </c>
      <c r="B12" s="19">
        <v>1810</v>
      </c>
      <c r="C12" s="19">
        <v>1933</v>
      </c>
      <c r="D12" s="11"/>
      <c r="E12" s="5">
        <v>8</v>
      </c>
      <c r="F12" s="19">
        <v>20890</v>
      </c>
      <c r="G12" s="19">
        <v>5659</v>
      </c>
      <c r="H12" s="11"/>
      <c r="I12" s="5">
        <v>8</v>
      </c>
      <c r="J12" s="19">
        <v>3200</v>
      </c>
      <c r="K12" s="19">
        <v>0</v>
      </c>
      <c r="L12" s="11"/>
      <c r="M12" s="19" t="s">
        <v>74</v>
      </c>
      <c r="N12" s="20">
        <v>12000</v>
      </c>
      <c r="O12" s="1"/>
      <c r="P12" s="21">
        <v>44689</v>
      </c>
      <c r="Q12" s="19" t="s">
        <v>28</v>
      </c>
      <c r="R12" s="19">
        <v>5000</v>
      </c>
      <c r="T12" s="21">
        <v>44697</v>
      </c>
      <c r="U12" s="19" t="s">
        <v>118</v>
      </c>
      <c r="V12" s="19">
        <v>2000</v>
      </c>
      <c r="X12" s="21">
        <v>44704</v>
      </c>
      <c r="Y12" s="19" t="s">
        <v>122</v>
      </c>
      <c r="Z12" s="19">
        <v>2000</v>
      </c>
    </row>
    <row r="13" spans="1:26" x14ac:dyDescent="0.2">
      <c r="A13" s="5">
        <v>9</v>
      </c>
      <c r="B13" s="19">
        <v>1560</v>
      </c>
      <c r="C13" s="19">
        <v>0</v>
      </c>
      <c r="D13" s="11"/>
      <c r="E13" s="5">
        <v>9</v>
      </c>
      <c r="F13" s="19">
        <v>19010</v>
      </c>
      <c r="G13" s="19">
        <v>1594</v>
      </c>
      <c r="H13" s="11"/>
      <c r="I13" s="5">
        <v>9</v>
      </c>
      <c r="J13" s="19">
        <v>2800</v>
      </c>
      <c r="K13" s="19">
        <v>0</v>
      </c>
      <c r="L13" s="11"/>
      <c r="M13" s="19" t="s">
        <v>87</v>
      </c>
      <c r="N13" s="19">
        <v>12000</v>
      </c>
      <c r="O13" s="11">
        <v>1000</v>
      </c>
      <c r="P13" s="21">
        <v>44690</v>
      </c>
      <c r="Q13" s="19" t="s">
        <v>28</v>
      </c>
      <c r="R13" s="19">
        <v>4000</v>
      </c>
      <c r="T13" s="21">
        <v>44697</v>
      </c>
      <c r="U13" s="19" t="s">
        <v>22</v>
      </c>
      <c r="V13" s="19">
        <v>2000</v>
      </c>
      <c r="X13" s="21">
        <v>44706</v>
      </c>
      <c r="Y13" s="19" t="s">
        <v>28</v>
      </c>
      <c r="Z13" s="19">
        <v>3500</v>
      </c>
    </row>
    <row r="14" spans="1:26" x14ac:dyDescent="0.2">
      <c r="A14" s="5">
        <v>10</v>
      </c>
      <c r="B14" s="19">
        <v>2780</v>
      </c>
      <c r="C14" s="19">
        <v>0</v>
      </c>
      <c r="D14" s="11"/>
      <c r="E14" s="5">
        <v>10</v>
      </c>
      <c r="F14" s="19">
        <v>15565</v>
      </c>
      <c r="G14" s="19">
        <v>7672</v>
      </c>
      <c r="H14" s="11"/>
      <c r="I14" s="5">
        <v>10</v>
      </c>
      <c r="J14" s="19">
        <v>4500</v>
      </c>
      <c r="K14" s="19">
        <v>0</v>
      </c>
      <c r="L14" s="1"/>
      <c r="M14" s="19" t="s">
        <v>77</v>
      </c>
      <c r="N14" s="19">
        <v>0</v>
      </c>
      <c r="O14" s="11"/>
      <c r="P14" s="21">
        <v>44690</v>
      </c>
      <c r="Q14" s="19" t="s">
        <v>118</v>
      </c>
      <c r="R14" s="19">
        <v>1000</v>
      </c>
      <c r="T14" s="21">
        <v>44697</v>
      </c>
      <c r="U14" s="19" t="s">
        <v>123</v>
      </c>
      <c r="V14" s="19">
        <v>3000</v>
      </c>
      <c r="X14" s="21">
        <v>44708</v>
      </c>
      <c r="Y14" s="19" t="s">
        <v>15</v>
      </c>
      <c r="Z14" s="19">
        <v>1500</v>
      </c>
    </row>
    <row r="15" spans="1:26" x14ac:dyDescent="0.2">
      <c r="A15" s="5">
        <v>11</v>
      </c>
      <c r="B15" s="19">
        <v>5590</v>
      </c>
      <c r="C15" s="19">
        <f>9644+3181</f>
        <v>12825</v>
      </c>
      <c r="D15" s="11"/>
      <c r="E15" s="5">
        <v>11</v>
      </c>
      <c r="F15" s="19">
        <v>16419</v>
      </c>
      <c r="G15" s="19">
        <v>5950</v>
      </c>
      <c r="H15" s="11"/>
      <c r="I15" s="5">
        <v>11</v>
      </c>
      <c r="J15" s="19">
        <v>8800</v>
      </c>
      <c r="K15" s="19">
        <v>0</v>
      </c>
      <c r="L15" s="1"/>
      <c r="M15" s="12" t="s">
        <v>79</v>
      </c>
      <c r="N15" s="13">
        <f>SUM(N4:N14)</f>
        <v>122000</v>
      </c>
      <c r="O15" s="1"/>
      <c r="P15" s="21">
        <v>44690</v>
      </c>
      <c r="Q15" s="19" t="s">
        <v>15</v>
      </c>
      <c r="R15" s="19">
        <v>500</v>
      </c>
      <c r="T15" s="21">
        <v>44698</v>
      </c>
      <c r="U15" s="19" t="s">
        <v>118</v>
      </c>
      <c r="V15" s="19">
        <v>5000</v>
      </c>
      <c r="X15" s="21">
        <v>44708</v>
      </c>
      <c r="Y15" s="19" t="s">
        <v>28</v>
      </c>
      <c r="Z15" s="19">
        <v>1000</v>
      </c>
    </row>
    <row r="16" spans="1:26" x14ac:dyDescent="0.2">
      <c r="A16" s="5">
        <v>12</v>
      </c>
      <c r="B16" s="19">
        <v>2170</v>
      </c>
      <c r="C16" s="19">
        <v>2075</v>
      </c>
      <c r="D16" s="11"/>
      <c r="E16" s="5">
        <v>12</v>
      </c>
      <c r="F16" s="19">
        <v>7955</v>
      </c>
      <c r="G16" s="19">
        <v>5320</v>
      </c>
      <c r="H16" s="11"/>
      <c r="I16" s="5">
        <v>12</v>
      </c>
      <c r="J16" s="19">
        <v>2300</v>
      </c>
      <c r="K16" s="19">
        <v>0</v>
      </c>
      <c r="L16" s="1"/>
      <c r="M16" s="25"/>
      <c r="N16" s="6"/>
      <c r="O16" s="1"/>
      <c r="P16" s="1"/>
      <c r="Q16" s="1"/>
      <c r="R16" s="1">
        <f>SUM(R10:R15)</f>
        <v>18000</v>
      </c>
      <c r="V16" s="42">
        <f>SUM(V6:V15)</f>
        <v>26000</v>
      </c>
      <c r="Z16" s="42">
        <f>SUM(Z6:Z15)</f>
        <v>16500</v>
      </c>
    </row>
    <row r="17" spans="1:26" x14ac:dyDescent="0.2">
      <c r="A17" s="5">
        <v>13</v>
      </c>
      <c r="B17" s="19">
        <v>6470</v>
      </c>
      <c r="C17" s="19">
        <v>4897</v>
      </c>
      <c r="D17" s="11"/>
      <c r="E17" s="5">
        <v>13</v>
      </c>
      <c r="F17" s="19">
        <v>13450</v>
      </c>
      <c r="G17" s="19">
        <v>7354</v>
      </c>
      <c r="H17" s="11"/>
      <c r="I17" s="5">
        <v>13</v>
      </c>
      <c r="J17" s="19">
        <v>2100</v>
      </c>
      <c r="K17" s="19">
        <v>0</v>
      </c>
      <c r="L17" s="1"/>
      <c r="M17" s="78" t="s">
        <v>37</v>
      </c>
      <c r="N17" s="79"/>
      <c r="O17" s="1"/>
      <c r="P17" s="80" t="s">
        <v>38</v>
      </c>
      <c r="Q17" s="79"/>
      <c r="R17" s="1"/>
      <c r="Z17" s="42">
        <f>R16+V16+Z16+T67</f>
        <v>72500</v>
      </c>
    </row>
    <row r="18" spans="1:26" x14ac:dyDescent="0.2">
      <c r="A18" s="5">
        <v>14</v>
      </c>
      <c r="B18" s="19">
        <v>6211</v>
      </c>
      <c r="C18" s="19">
        <v>4011</v>
      </c>
      <c r="D18" s="11"/>
      <c r="E18" s="5">
        <v>14</v>
      </c>
      <c r="F18" s="19">
        <v>13785</v>
      </c>
      <c r="G18" s="19">
        <v>8700</v>
      </c>
      <c r="H18" s="11"/>
      <c r="I18" s="5">
        <v>14</v>
      </c>
      <c r="J18" s="19">
        <v>2100</v>
      </c>
      <c r="K18" s="19">
        <v>0</v>
      </c>
      <c r="L18" s="1"/>
      <c r="M18" s="2" t="s">
        <v>39</v>
      </c>
      <c r="N18" s="3" t="s">
        <v>6</v>
      </c>
      <c r="O18" s="1"/>
      <c r="P18" s="2" t="s">
        <v>5</v>
      </c>
      <c r="Q18" s="3" t="s">
        <v>6</v>
      </c>
      <c r="R18" s="1"/>
      <c r="S18" s="89" t="s">
        <v>105</v>
      </c>
      <c r="T18" s="84"/>
      <c r="U18" s="84"/>
      <c r="V18" s="79"/>
    </row>
    <row r="19" spans="1:26" x14ac:dyDescent="0.2">
      <c r="A19" s="5">
        <v>15</v>
      </c>
      <c r="B19" s="19">
        <v>4990</v>
      </c>
      <c r="C19" s="19">
        <v>2799</v>
      </c>
      <c r="D19" s="11"/>
      <c r="E19" s="5">
        <v>15</v>
      </c>
      <c r="F19" s="19">
        <v>18250</v>
      </c>
      <c r="G19" s="19">
        <v>11608</v>
      </c>
      <c r="H19" s="11"/>
      <c r="I19" s="5">
        <v>15</v>
      </c>
      <c r="J19" s="19">
        <v>3600</v>
      </c>
      <c r="K19" s="19">
        <v>0</v>
      </c>
      <c r="L19" s="1"/>
      <c r="M19" s="4" t="s">
        <v>41</v>
      </c>
      <c r="N19" s="20">
        <v>50000</v>
      </c>
      <c r="O19" s="1"/>
      <c r="P19" s="4" t="s">
        <v>42</v>
      </c>
      <c r="Q19" s="5">
        <f>B35+F35+J35</f>
        <v>695777</v>
      </c>
      <c r="R19" s="1"/>
      <c r="S19" s="16" t="s">
        <v>106</v>
      </c>
      <c r="T19" s="16" t="s">
        <v>68</v>
      </c>
      <c r="U19" s="16" t="s">
        <v>107</v>
      </c>
      <c r="V19" s="16" t="s">
        <v>108</v>
      </c>
      <c r="X19" s="16" t="s">
        <v>109</v>
      </c>
    </row>
    <row r="20" spans="1:26" x14ac:dyDescent="0.2">
      <c r="A20" s="5">
        <v>16</v>
      </c>
      <c r="B20" s="19">
        <v>0</v>
      </c>
      <c r="C20" s="19">
        <v>0</v>
      </c>
      <c r="D20" s="11"/>
      <c r="E20" s="5">
        <v>16</v>
      </c>
      <c r="F20" s="19">
        <v>15456</v>
      </c>
      <c r="G20" s="19">
        <v>11961</v>
      </c>
      <c r="H20" s="11"/>
      <c r="I20" s="5">
        <v>16</v>
      </c>
      <c r="J20" s="19">
        <v>17300</v>
      </c>
      <c r="K20" s="19">
        <v>0</v>
      </c>
      <c r="L20" s="11"/>
      <c r="M20" s="4" t="s">
        <v>43</v>
      </c>
      <c r="N20" s="19">
        <v>48764</v>
      </c>
      <c r="O20" s="1"/>
      <c r="P20" s="4" t="s">
        <v>44</v>
      </c>
      <c r="Q20" s="5">
        <f>C35+G35+K35+N15+N30+N55</f>
        <v>592927</v>
      </c>
      <c r="R20" s="1"/>
      <c r="S20" s="16">
        <v>1</v>
      </c>
      <c r="T20" s="55">
        <f>3836+2670</f>
        <v>6506</v>
      </c>
      <c r="U20" s="50">
        <f>7910+660</f>
        <v>8570</v>
      </c>
      <c r="V20" s="50">
        <f t="shared" ref="V20:V49" si="0">SUM(T20:U20)</f>
        <v>15076</v>
      </c>
      <c r="X20" s="16">
        <v>140</v>
      </c>
    </row>
    <row r="21" spans="1:26" x14ac:dyDescent="0.2">
      <c r="A21" s="5">
        <v>17</v>
      </c>
      <c r="B21" s="19">
        <v>2600</v>
      </c>
      <c r="C21" s="19">
        <v>1480</v>
      </c>
      <c r="D21" s="11"/>
      <c r="E21" s="5">
        <v>17</v>
      </c>
      <c r="F21" s="19">
        <v>8725</v>
      </c>
      <c r="G21" s="19">
        <v>13005</v>
      </c>
      <c r="H21" s="11"/>
      <c r="I21" s="5">
        <v>17</v>
      </c>
      <c r="J21" s="19">
        <v>12500</v>
      </c>
      <c r="K21" s="19">
        <v>0</v>
      </c>
      <c r="L21" s="1"/>
      <c r="M21" s="4" t="s">
        <v>46</v>
      </c>
      <c r="N21" s="5">
        <v>2500</v>
      </c>
      <c r="O21" s="1"/>
      <c r="P21" s="26" t="s">
        <v>47</v>
      </c>
      <c r="Q21" s="27">
        <f>Q19-Q20</f>
        <v>102850</v>
      </c>
      <c r="R21" s="1"/>
      <c r="S21" s="16">
        <v>2</v>
      </c>
      <c r="T21" s="57">
        <v>140</v>
      </c>
      <c r="U21" s="16">
        <v>3235</v>
      </c>
      <c r="V21" s="50">
        <f t="shared" si="0"/>
        <v>3375</v>
      </c>
      <c r="X21" s="16">
        <v>30</v>
      </c>
    </row>
    <row r="22" spans="1:26" x14ac:dyDescent="0.2">
      <c r="A22" s="5">
        <v>18</v>
      </c>
      <c r="B22" s="19">
        <v>874</v>
      </c>
      <c r="C22" s="19">
        <v>570</v>
      </c>
      <c r="D22" s="11"/>
      <c r="E22" s="5">
        <v>18</v>
      </c>
      <c r="F22" s="19">
        <v>12220</v>
      </c>
      <c r="G22" s="19">
        <v>9166</v>
      </c>
      <c r="H22" s="11"/>
      <c r="I22" s="5">
        <v>18</v>
      </c>
      <c r="J22" s="19">
        <v>0</v>
      </c>
      <c r="K22" s="19">
        <v>0</v>
      </c>
      <c r="L22" s="1"/>
      <c r="M22" s="4"/>
      <c r="N22" s="19"/>
      <c r="O22" s="1"/>
      <c r="P22" s="4" t="s">
        <v>49</v>
      </c>
      <c r="Q22" s="20">
        <v>35000</v>
      </c>
      <c r="R22" s="1"/>
      <c r="S22" s="16">
        <v>3</v>
      </c>
      <c r="T22" s="55">
        <f>1460+5125</f>
        <v>6585</v>
      </c>
      <c r="U22" s="16">
        <f>8650+1570</f>
        <v>10220</v>
      </c>
      <c r="V22" s="50">
        <f t="shared" si="0"/>
        <v>16805</v>
      </c>
      <c r="X22" s="16">
        <v>160</v>
      </c>
    </row>
    <row r="23" spans="1:26" x14ac:dyDescent="0.2">
      <c r="A23" s="5">
        <v>19</v>
      </c>
      <c r="B23" s="19">
        <v>4230</v>
      </c>
      <c r="C23" s="19">
        <v>142</v>
      </c>
      <c r="D23" s="11"/>
      <c r="E23" s="5">
        <v>19</v>
      </c>
      <c r="F23" s="19">
        <v>5660</v>
      </c>
      <c r="G23" s="19">
        <v>7807</v>
      </c>
      <c r="H23" s="11"/>
      <c r="I23" s="5">
        <v>19</v>
      </c>
      <c r="J23" s="19">
        <v>9200</v>
      </c>
      <c r="K23" s="19">
        <v>0</v>
      </c>
      <c r="L23" s="1"/>
      <c r="M23" s="4" t="s">
        <v>50</v>
      </c>
      <c r="N23" s="5">
        <v>1690</v>
      </c>
      <c r="O23" s="1"/>
      <c r="P23" s="1"/>
      <c r="Q23" s="1"/>
      <c r="R23" s="1"/>
      <c r="S23" s="16">
        <v>4</v>
      </c>
      <c r="T23" s="57">
        <f>2689+1455</f>
        <v>4144</v>
      </c>
      <c r="U23" s="16">
        <v>14740</v>
      </c>
      <c r="V23" s="50">
        <f t="shared" si="0"/>
        <v>18884</v>
      </c>
      <c r="X23" s="16">
        <v>50</v>
      </c>
    </row>
    <row r="24" spans="1:26" x14ac:dyDescent="0.2">
      <c r="A24" s="5">
        <v>20</v>
      </c>
      <c r="B24" s="19">
        <v>2250</v>
      </c>
      <c r="C24" s="19">
        <v>1204</v>
      </c>
      <c r="D24" s="11"/>
      <c r="E24" s="5">
        <v>20</v>
      </c>
      <c r="F24" s="19">
        <v>7405</v>
      </c>
      <c r="G24" s="19">
        <v>6485</v>
      </c>
      <c r="H24" s="11"/>
      <c r="I24" s="5">
        <v>20</v>
      </c>
      <c r="J24" s="19">
        <v>1200</v>
      </c>
      <c r="K24" s="19">
        <v>0</v>
      </c>
      <c r="L24" s="1"/>
      <c r="M24" s="4" t="s">
        <v>51</v>
      </c>
      <c r="N24" s="20">
        <v>5000</v>
      </c>
      <c r="O24" s="1"/>
      <c r="P24" s="1"/>
      <c r="Q24" s="1"/>
      <c r="R24" s="1"/>
      <c r="S24" s="16">
        <v>5</v>
      </c>
      <c r="T24" s="57">
        <f>11764+850</f>
        <v>12614</v>
      </c>
      <c r="U24" s="16">
        <f>12185+1180</f>
        <v>13365</v>
      </c>
      <c r="V24" s="50">
        <f t="shared" si="0"/>
        <v>25979</v>
      </c>
      <c r="X24" s="16">
        <v>20</v>
      </c>
    </row>
    <row r="25" spans="1:26" x14ac:dyDescent="0.2">
      <c r="A25" s="5">
        <v>21</v>
      </c>
      <c r="B25" s="19">
        <v>2950</v>
      </c>
      <c r="C25" s="19">
        <v>1666</v>
      </c>
      <c r="D25" s="11"/>
      <c r="E25" s="5">
        <v>21</v>
      </c>
      <c r="F25" s="19">
        <v>13725</v>
      </c>
      <c r="G25" s="19">
        <v>8060</v>
      </c>
      <c r="H25" s="11"/>
      <c r="I25" s="5">
        <v>21</v>
      </c>
      <c r="J25" s="19">
        <v>1500</v>
      </c>
      <c r="K25" s="19">
        <v>0</v>
      </c>
      <c r="L25" s="11"/>
      <c r="M25" s="19" t="s">
        <v>89</v>
      </c>
      <c r="N25" s="4"/>
      <c r="O25" s="1"/>
      <c r="P25" s="1"/>
      <c r="Q25" s="1"/>
      <c r="R25" s="1"/>
      <c r="S25" s="16">
        <v>6</v>
      </c>
      <c r="T25" s="57">
        <f>4741+400</f>
        <v>5141</v>
      </c>
      <c r="U25" s="16">
        <f>3005+760</f>
        <v>3765</v>
      </c>
      <c r="V25" s="50">
        <f t="shared" si="0"/>
        <v>8906</v>
      </c>
      <c r="X25" s="16">
        <v>465</v>
      </c>
    </row>
    <row r="26" spans="1:26" x14ac:dyDescent="0.2">
      <c r="A26" s="5">
        <v>22</v>
      </c>
      <c r="B26" s="19">
        <v>2702</v>
      </c>
      <c r="C26" s="19">
        <v>1672</v>
      </c>
      <c r="D26" s="11"/>
      <c r="E26" s="5">
        <v>22</v>
      </c>
      <c r="F26" s="19">
        <v>21110</v>
      </c>
      <c r="G26" s="19">
        <v>5035</v>
      </c>
      <c r="H26" s="11"/>
      <c r="I26" s="5">
        <v>22</v>
      </c>
      <c r="J26" s="19">
        <v>7000</v>
      </c>
      <c r="K26" s="19">
        <v>0</v>
      </c>
      <c r="L26" s="1"/>
      <c r="M26" s="19" t="s">
        <v>124</v>
      </c>
      <c r="N26" s="19">
        <v>2000</v>
      </c>
      <c r="O26" s="1"/>
      <c r="P26" s="1"/>
      <c r="Q26" s="1"/>
      <c r="R26" s="1"/>
      <c r="S26" s="16">
        <v>7</v>
      </c>
      <c r="T26" s="55">
        <f>72+1940</f>
        <v>2012</v>
      </c>
      <c r="U26" s="16">
        <f>4672</f>
        <v>4672</v>
      </c>
      <c r="V26" s="50">
        <f t="shared" si="0"/>
        <v>6684</v>
      </c>
      <c r="X26" s="16">
        <v>88</v>
      </c>
    </row>
    <row r="27" spans="1:26" x14ac:dyDescent="0.2">
      <c r="A27" s="5">
        <v>23</v>
      </c>
      <c r="B27" s="19">
        <v>0</v>
      </c>
      <c r="C27" s="19">
        <v>0</v>
      </c>
      <c r="D27" s="11"/>
      <c r="E27" s="5">
        <v>23</v>
      </c>
      <c r="F27" s="19">
        <v>6215</v>
      </c>
      <c r="G27" s="19">
        <v>6853</v>
      </c>
      <c r="H27" s="11"/>
      <c r="I27" s="5">
        <v>23</v>
      </c>
      <c r="J27" s="19">
        <v>4000</v>
      </c>
      <c r="K27" s="19">
        <v>0</v>
      </c>
      <c r="L27" s="1"/>
      <c r="M27" s="19" t="s">
        <v>124</v>
      </c>
      <c r="N27" s="19">
        <v>1000</v>
      </c>
      <c r="O27" s="1"/>
      <c r="P27" s="1">
        <f>(N15+N55)-Z17</f>
        <v>96500</v>
      </c>
      <c r="Q27" s="1"/>
      <c r="R27" s="1"/>
      <c r="S27" s="16">
        <v>8</v>
      </c>
      <c r="T27" s="55">
        <f>23+1700</f>
        <v>1723</v>
      </c>
      <c r="U27" s="16">
        <f>6405+110</f>
        <v>6515</v>
      </c>
      <c r="V27" s="50">
        <f t="shared" si="0"/>
        <v>8238</v>
      </c>
      <c r="X27" s="16">
        <v>70</v>
      </c>
    </row>
    <row r="28" spans="1:26" x14ac:dyDescent="0.2">
      <c r="A28" s="5">
        <v>24</v>
      </c>
      <c r="B28" s="19">
        <v>1340</v>
      </c>
      <c r="C28" s="19">
        <v>369</v>
      </c>
      <c r="D28" s="11"/>
      <c r="E28" s="5">
        <v>24</v>
      </c>
      <c r="F28" s="19">
        <v>14295</v>
      </c>
      <c r="G28" s="19">
        <v>15239</v>
      </c>
      <c r="H28" s="11"/>
      <c r="I28" s="5">
        <v>24</v>
      </c>
      <c r="J28" s="19">
        <v>7200</v>
      </c>
      <c r="K28" s="19">
        <v>0</v>
      </c>
      <c r="L28" s="1"/>
      <c r="M28" s="4"/>
      <c r="N28" s="4"/>
      <c r="O28" s="1"/>
      <c r="P28" s="11"/>
      <c r="Q28" s="11"/>
      <c r="R28" s="1"/>
      <c r="S28" s="16">
        <v>9</v>
      </c>
      <c r="T28" s="55">
        <f>5761+1480</f>
        <v>7241</v>
      </c>
      <c r="U28" s="16">
        <v>4035</v>
      </c>
      <c r="V28" s="50">
        <f t="shared" si="0"/>
        <v>11276</v>
      </c>
      <c r="X28" s="50"/>
    </row>
    <row r="29" spans="1:26" x14ac:dyDescent="0.2">
      <c r="A29" s="5">
        <v>25</v>
      </c>
      <c r="B29" s="19">
        <v>729</v>
      </c>
      <c r="C29" s="19">
        <v>282</v>
      </c>
      <c r="D29" s="11"/>
      <c r="E29" s="5">
        <v>25</v>
      </c>
      <c r="F29" s="19">
        <v>22843</v>
      </c>
      <c r="G29" s="19">
        <v>11388</v>
      </c>
      <c r="H29" s="11"/>
      <c r="I29" s="5">
        <v>25</v>
      </c>
      <c r="J29" s="19">
        <v>1300</v>
      </c>
      <c r="K29" s="19">
        <v>0</v>
      </c>
      <c r="L29" s="1"/>
      <c r="M29" s="4"/>
      <c r="N29" s="4"/>
      <c r="O29" s="1"/>
      <c r="P29" s="11"/>
      <c r="Q29" s="1"/>
      <c r="R29" s="1"/>
      <c r="S29" s="16">
        <v>10</v>
      </c>
      <c r="T29" s="55">
        <f>3+2230</f>
        <v>2233</v>
      </c>
      <c r="U29" s="50">
        <f>9790+550</f>
        <v>10340</v>
      </c>
      <c r="V29" s="50">
        <f t="shared" si="0"/>
        <v>12573</v>
      </c>
      <c r="X29" s="16">
        <v>100</v>
      </c>
    </row>
    <row r="30" spans="1:26" x14ac:dyDescent="0.2">
      <c r="A30" s="5">
        <v>26</v>
      </c>
      <c r="B30" s="19">
        <v>0</v>
      </c>
      <c r="C30" s="19">
        <v>2387</v>
      </c>
      <c r="D30" s="11"/>
      <c r="E30" s="5">
        <v>26</v>
      </c>
      <c r="F30" s="19">
        <v>9970</v>
      </c>
      <c r="G30" s="19">
        <v>4936</v>
      </c>
      <c r="H30" s="11"/>
      <c r="I30" s="5">
        <v>26</v>
      </c>
      <c r="J30" s="19">
        <v>2050</v>
      </c>
      <c r="K30" s="19">
        <v>0</v>
      </c>
      <c r="L30" s="1"/>
      <c r="M30" s="12" t="s">
        <v>36</v>
      </c>
      <c r="N30" s="13">
        <f>SUM(N19:N29)</f>
        <v>110954</v>
      </c>
      <c r="O30" s="1"/>
      <c r="P30" s="1"/>
      <c r="Q30" s="11"/>
      <c r="R30" s="1"/>
      <c r="S30" s="16">
        <v>11</v>
      </c>
      <c r="T30" s="57">
        <f>10+199</f>
        <v>209</v>
      </c>
      <c r="U30" s="16">
        <f>7615+2190</f>
        <v>9805</v>
      </c>
      <c r="V30" s="50">
        <f t="shared" si="0"/>
        <v>10014</v>
      </c>
      <c r="X30" s="16">
        <v>20</v>
      </c>
    </row>
    <row r="31" spans="1:26" x14ac:dyDescent="0.2">
      <c r="A31" s="5">
        <v>27</v>
      </c>
      <c r="B31" s="19">
        <v>3797</v>
      </c>
      <c r="C31" s="19">
        <v>3771</v>
      </c>
      <c r="D31" s="11"/>
      <c r="E31" s="5">
        <v>27</v>
      </c>
      <c r="F31" s="19">
        <v>7300</v>
      </c>
      <c r="G31" s="19">
        <v>4129</v>
      </c>
      <c r="H31" s="11"/>
      <c r="I31" s="5">
        <v>27</v>
      </c>
      <c r="J31" s="19">
        <v>1300</v>
      </c>
      <c r="K31" s="19">
        <v>0</v>
      </c>
      <c r="L31" s="1"/>
      <c r="M31" s="1"/>
      <c r="N31" s="1"/>
      <c r="O31" s="1"/>
      <c r="P31" s="1"/>
      <c r="Q31" s="1"/>
      <c r="R31" s="1"/>
      <c r="S31" s="16">
        <v>12</v>
      </c>
      <c r="T31" s="55">
        <f>105+95</f>
        <v>200</v>
      </c>
      <c r="U31" s="50">
        <f>2765</f>
        <v>2765</v>
      </c>
      <c r="V31" s="50">
        <f t="shared" si="0"/>
        <v>2965</v>
      </c>
      <c r="X31" s="16">
        <v>65</v>
      </c>
    </row>
    <row r="32" spans="1:26" x14ac:dyDescent="0.2">
      <c r="A32" s="5">
        <v>28</v>
      </c>
      <c r="B32" s="19">
        <v>3038</v>
      </c>
      <c r="C32" s="19">
        <v>2410</v>
      </c>
      <c r="D32" s="11"/>
      <c r="E32" s="5">
        <v>28</v>
      </c>
      <c r="F32" s="19">
        <v>26234</v>
      </c>
      <c r="G32" s="19">
        <f>5539+600+2000</f>
        <v>8139</v>
      </c>
      <c r="H32" s="1"/>
      <c r="I32" s="5">
        <v>28</v>
      </c>
      <c r="J32" s="19">
        <v>3200</v>
      </c>
      <c r="K32" s="19">
        <v>0</v>
      </c>
      <c r="L32" s="1"/>
      <c r="M32" s="81" t="s">
        <v>53</v>
      </c>
      <c r="N32" s="79"/>
      <c r="O32" s="1"/>
      <c r="P32" s="1"/>
      <c r="Q32" s="1"/>
      <c r="R32" s="1"/>
      <c r="S32" s="16">
        <v>13</v>
      </c>
      <c r="T32" s="55">
        <f>4566+13</f>
        <v>4579</v>
      </c>
      <c r="U32" s="50">
        <f>3360+1560</f>
        <v>4920</v>
      </c>
      <c r="V32" s="50">
        <f t="shared" si="0"/>
        <v>9499</v>
      </c>
      <c r="X32" s="16"/>
    </row>
    <row r="33" spans="1:24" x14ac:dyDescent="0.2">
      <c r="A33" s="5">
        <v>29</v>
      </c>
      <c r="B33" s="19">
        <v>3150</v>
      </c>
      <c r="C33" s="19">
        <v>2186</v>
      </c>
      <c r="D33" s="1"/>
      <c r="E33" s="5">
        <v>29</v>
      </c>
      <c r="F33" s="19">
        <v>21520</v>
      </c>
      <c r="G33" s="19">
        <v>7029</v>
      </c>
      <c r="H33" s="1"/>
      <c r="I33" s="5">
        <v>29</v>
      </c>
      <c r="J33" s="19">
        <v>1200</v>
      </c>
      <c r="K33" s="19">
        <v>0</v>
      </c>
      <c r="L33" s="1"/>
      <c r="M33" s="2" t="s">
        <v>39</v>
      </c>
      <c r="N33" s="3" t="s">
        <v>6</v>
      </c>
      <c r="O33" s="1"/>
      <c r="P33" s="1"/>
      <c r="Q33" s="1"/>
      <c r="R33" s="1"/>
      <c r="S33" s="16">
        <v>14</v>
      </c>
      <c r="T33" s="57">
        <f>50+20</f>
        <v>70</v>
      </c>
      <c r="U33" s="50">
        <f>7135+2180</f>
        <v>9315</v>
      </c>
      <c r="V33" s="50">
        <f t="shared" si="0"/>
        <v>9385</v>
      </c>
      <c r="X33" s="16"/>
    </row>
    <row r="34" spans="1:24" x14ac:dyDescent="0.2">
      <c r="A34" s="5">
        <v>30</v>
      </c>
      <c r="B34" s="19">
        <v>0</v>
      </c>
      <c r="C34" s="19">
        <v>0</v>
      </c>
      <c r="D34" s="11"/>
      <c r="E34" s="5">
        <v>30</v>
      </c>
      <c r="F34" s="19">
        <v>16473</v>
      </c>
      <c r="G34" s="19">
        <v>6059</v>
      </c>
      <c r="H34" s="1"/>
      <c r="I34" s="5">
        <v>30</v>
      </c>
      <c r="J34" s="19">
        <v>2100</v>
      </c>
      <c r="K34" s="19">
        <v>0</v>
      </c>
      <c r="L34" s="1"/>
      <c r="M34" s="19" t="s">
        <v>96</v>
      </c>
      <c r="N34" s="19">
        <v>15000</v>
      </c>
      <c r="O34" s="11">
        <v>4000</v>
      </c>
      <c r="P34" s="1"/>
      <c r="Q34" s="1"/>
      <c r="R34" s="1"/>
      <c r="S34" s="16">
        <v>15</v>
      </c>
      <c r="T34" s="55">
        <f>12+1</f>
        <v>13</v>
      </c>
      <c r="U34" s="50">
        <f>9730+2190</f>
        <v>11920</v>
      </c>
      <c r="V34" s="50">
        <f t="shared" si="0"/>
        <v>11933</v>
      </c>
      <c r="X34" s="16">
        <v>120</v>
      </c>
    </row>
    <row r="35" spans="1:24" x14ac:dyDescent="0.2">
      <c r="A35" s="12" t="s">
        <v>36</v>
      </c>
      <c r="B35" s="13">
        <f t="shared" ref="B35:C35" si="1">SUM(B5:B34)+B37</f>
        <v>76921</v>
      </c>
      <c r="C35" s="13">
        <f t="shared" si="1"/>
        <v>63974</v>
      </c>
      <c r="D35" s="1"/>
      <c r="E35" s="12" t="s">
        <v>36</v>
      </c>
      <c r="F35" s="13">
        <f t="shared" ref="F35:G35" si="2">SUM(F5:F34)+F37</f>
        <v>476706</v>
      </c>
      <c r="G35" s="13">
        <f t="shared" si="2"/>
        <v>248999</v>
      </c>
      <c r="H35" s="1"/>
      <c r="I35" s="12" t="s">
        <v>36</v>
      </c>
      <c r="J35" s="13">
        <f t="shared" ref="J35:K35" si="3">SUM(J5:J34)+J37</f>
        <v>142150</v>
      </c>
      <c r="K35" s="13">
        <f t="shared" si="3"/>
        <v>0</v>
      </c>
      <c r="L35" s="1"/>
      <c r="M35" s="19" t="s">
        <v>102</v>
      </c>
      <c r="N35" s="19">
        <v>15000</v>
      </c>
      <c r="O35" s="11">
        <v>2000</v>
      </c>
      <c r="P35" s="1"/>
      <c r="Q35" s="1"/>
      <c r="R35" s="1"/>
      <c r="S35" s="16">
        <v>16</v>
      </c>
      <c r="T35" s="57">
        <f>7789</f>
        <v>7789</v>
      </c>
      <c r="U35" s="16">
        <v>4005</v>
      </c>
      <c r="V35" s="50">
        <f t="shared" si="0"/>
        <v>11794</v>
      </c>
      <c r="X35" s="50"/>
    </row>
    <row r="36" spans="1:24" x14ac:dyDescent="0.2">
      <c r="A36" s="3" t="s">
        <v>56</v>
      </c>
      <c r="B36" s="82">
        <f>B35-C35</f>
        <v>12947</v>
      </c>
      <c r="C36" s="79"/>
      <c r="D36" s="1"/>
      <c r="E36" s="3" t="s">
        <v>56</v>
      </c>
      <c r="F36" s="82">
        <f>F35-G35</f>
        <v>227707</v>
      </c>
      <c r="G36" s="79"/>
      <c r="H36" s="1"/>
      <c r="I36" s="3" t="s">
        <v>56</v>
      </c>
      <c r="J36" s="82">
        <f>J35-K35</f>
        <v>142150</v>
      </c>
      <c r="K36" s="79"/>
      <c r="L36" s="1"/>
      <c r="M36" s="19" t="s">
        <v>112</v>
      </c>
      <c r="N36" s="19">
        <v>9000</v>
      </c>
      <c r="O36" s="1"/>
      <c r="P36" s="1"/>
      <c r="Q36" s="1"/>
      <c r="R36" s="1"/>
      <c r="S36" s="16">
        <v>17</v>
      </c>
      <c r="T36" s="57">
        <v>5</v>
      </c>
      <c r="U36" s="50">
        <f>3215+1120</f>
        <v>4335</v>
      </c>
      <c r="V36" s="50">
        <f t="shared" si="0"/>
        <v>4340</v>
      </c>
      <c r="X36" s="16"/>
    </row>
    <row r="37" spans="1:24" x14ac:dyDescent="0.2">
      <c r="A37" s="5">
        <v>31</v>
      </c>
      <c r="B37" s="19">
        <v>1070</v>
      </c>
      <c r="C37" s="19">
        <v>1070</v>
      </c>
      <c r="D37" s="11"/>
      <c r="E37" s="5">
        <v>31</v>
      </c>
      <c r="F37" s="19">
        <v>20620</v>
      </c>
      <c r="G37" s="19">
        <v>18317</v>
      </c>
      <c r="H37" s="1"/>
      <c r="I37" s="5">
        <v>31</v>
      </c>
      <c r="J37" s="19">
        <v>10500</v>
      </c>
      <c r="K37" s="19">
        <v>0</v>
      </c>
      <c r="L37" s="1"/>
      <c r="M37" s="19" t="s">
        <v>125</v>
      </c>
      <c r="N37" s="19">
        <v>8000</v>
      </c>
      <c r="O37" s="1"/>
      <c r="P37" s="1"/>
      <c r="Q37" s="1"/>
      <c r="R37" s="11"/>
      <c r="S37" s="16">
        <v>18</v>
      </c>
      <c r="T37" s="57">
        <f>244</f>
        <v>244</v>
      </c>
      <c r="U37" s="16">
        <f>2820+304</f>
        <v>3124</v>
      </c>
      <c r="V37" s="50">
        <f t="shared" si="0"/>
        <v>3368</v>
      </c>
      <c r="X37" s="16"/>
    </row>
    <row r="38" spans="1:2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4"/>
      <c r="N38" s="54"/>
      <c r="O38" s="1"/>
      <c r="P38" s="1">
        <f>C47-C48-Z17-N26-N27</f>
        <v>307304</v>
      </c>
      <c r="Q38" s="1"/>
      <c r="R38" s="1"/>
      <c r="S38" s="16">
        <v>19</v>
      </c>
      <c r="T38" s="55">
        <f>4433+88</f>
        <v>4521</v>
      </c>
      <c r="U38" s="16">
        <f>620</f>
        <v>620</v>
      </c>
      <c r="V38" s="50">
        <f t="shared" si="0"/>
        <v>5141</v>
      </c>
      <c r="X38" s="16"/>
    </row>
    <row r="39" spans="1:2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9"/>
      <c r="N39" s="19"/>
      <c r="O39" s="1"/>
      <c r="P39" s="1"/>
      <c r="Q39" s="1"/>
      <c r="R39" s="1"/>
      <c r="S39" s="16">
        <v>20</v>
      </c>
      <c r="T39" s="55">
        <f>40+56</f>
        <v>96</v>
      </c>
      <c r="U39" s="16">
        <f>1080+990</f>
        <v>2070</v>
      </c>
      <c r="V39" s="50">
        <f t="shared" si="0"/>
        <v>2166</v>
      </c>
      <c r="X39" s="16"/>
    </row>
    <row r="40" spans="1:2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"/>
      <c r="N40" s="4"/>
      <c r="O40" s="1"/>
      <c r="P40" s="1"/>
      <c r="Q40" s="1"/>
      <c r="R40" s="1"/>
      <c r="S40" s="16">
        <v>21</v>
      </c>
      <c r="T40" s="50">
        <f>120+14</f>
        <v>134</v>
      </c>
      <c r="U40" s="50">
        <f>3485+1270</f>
        <v>4755</v>
      </c>
      <c r="V40" s="50">
        <f t="shared" si="0"/>
        <v>4889</v>
      </c>
      <c r="X40" s="16">
        <v>60</v>
      </c>
    </row>
    <row r="41" spans="1:2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4"/>
      <c r="N41" s="4"/>
      <c r="O41" s="1"/>
      <c r="P41" s="1"/>
      <c r="Q41" s="1"/>
      <c r="R41" s="1"/>
      <c r="S41" s="16">
        <v>22</v>
      </c>
      <c r="T41" s="50">
        <f>9530+31</f>
        <v>9561</v>
      </c>
      <c r="U41" s="50">
        <f>12545+1030</f>
        <v>13575</v>
      </c>
      <c r="V41" s="50">
        <f t="shared" si="0"/>
        <v>23136</v>
      </c>
      <c r="X41" s="16"/>
    </row>
    <row r="42" spans="1:2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4"/>
      <c r="N42" s="4"/>
      <c r="O42" s="1"/>
      <c r="P42" s="1"/>
      <c r="Q42" s="1"/>
      <c r="R42" s="1"/>
      <c r="S42" s="16">
        <v>23</v>
      </c>
      <c r="T42" s="50">
        <f>2</f>
        <v>2</v>
      </c>
      <c r="U42" s="50">
        <f>1360</f>
        <v>1360</v>
      </c>
      <c r="V42" s="50">
        <f t="shared" si="0"/>
        <v>1362</v>
      </c>
      <c r="X42" s="16"/>
    </row>
    <row r="43" spans="1:2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"/>
      <c r="N43" s="4"/>
      <c r="O43" s="1"/>
      <c r="P43" s="1"/>
      <c r="Q43" s="1"/>
      <c r="R43" s="1"/>
      <c r="S43" s="16">
        <v>24</v>
      </c>
      <c r="T43" s="50">
        <f>16+1</f>
        <v>17</v>
      </c>
      <c r="U43" s="50">
        <f>6240+970</f>
        <v>7210</v>
      </c>
      <c r="V43" s="50">
        <f t="shared" si="0"/>
        <v>7227</v>
      </c>
      <c r="X43" s="16"/>
    </row>
    <row r="44" spans="1:2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4"/>
      <c r="N44" s="4"/>
      <c r="O44" s="1"/>
      <c r="P44" s="1"/>
      <c r="Q44" s="1"/>
      <c r="R44" s="1"/>
      <c r="S44" s="16">
        <v>25</v>
      </c>
      <c r="T44" s="16">
        <f>16+7</f>
        <v>23</v>
      </c>
      <c r="U44" s="16">
        <f>9245+340</f>
        <v>9585</v>
      </c>
      <c r="V44" s="50">
        <f t="shared" si="0"/>
        <v>9608</v>
      </c>
      <c r="X44" s="16"/>
    </row>
    <row r="45" spans="1:2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4"/>
      <c r="N45" s="4"/>
      <c r="O45" s="1"/>
      <c r="P45" s="1"/>
      <c r="Q45" s="1"/>
      <c r="R45" s="1"/>
      <c r="S45" s="16">
        <v>26</v>
      </c>
      <c r="T45" s="16">
        <v>17</v>
      </c>
      <c r="U45" s="16">
        <v>4680</v>
      </c>
      <c r="V45" s="50">
        <f t="shared" si="0"/>
        <v>4697</v>
      </c>
      <c r="X45" s="50"/>
    </row>
    <row r="46" spans="1:2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4"/>
      <c r="N46" s="4"/>
      <c r="O46" s="1"/>
      <c r="P46" s="1"/>
      <c r="Q46" s="1"/>
      <c r="R46" s="1"/>
      <c r="S46" s="16">
        <v>27</v>
      </c>
      <c r="T46" s="50">
        <f>16+6</f>
        <v>22</v>
      </c>
      <c r="U46" s="50">
        <f>900</f>
        <v>900</v>
      </c>
      <c r="V46" s="50">
        <f t="shared" si="0"/>
        <v>922</v>
      </c>
      <c r="X46" s="16">
        <v>75</v>
      </c>
    </row>
    <row r="47" spans="1:24" x14ac:dyDescent="0.2">
      <c r="A47" s="1"/>
      <c r="B47" s="1"/>
      <c r="C47" s="1">
        <f>(B35+F35+J35)</f>
        <v>695777</v>
      </c>
      <c r="D47" s="1"/>
      <c r="E47" s="1"/>
      <c r="F47" s="1"/>
      <c r="G47" s="1"/>
      <c r="H47" s="1"/>
      <c r="I47" s="1"/>
      <c r="J47" s="1"/>
      <c r="K47" s="1"/>
      <c r="L47" s="1"/>
      <c r="M47" s="4"/>
      <c r="N47" s="4"/>
      <c r="O47" s="1"/>
      <c r="P47" s="1"/>
      <c r="Q47" s="1"/>
      <c r="R47" s="1"/>
      <c r="S47" s="16">
        <v>28</v>
      </c>
      <c r="T47" s="50">
        <f>6086+28</f>
        <v>6114</v>
      </c>
      <c r="U47" s="16">
        <f>6689+600</f>
        <v>7289</v>
      </c>
      <c r="V47" s="50">
        <f t="shared" si="0"/>
        <v>13403</v>
      </c>
      <c r="X47" s="16">
        <v>20</v>
      </c>
    </row>
    <row r="48" spans="1:24" x14ac:dyDescent="0.2">
      <c r="A48" s="1"/>
      <c r="B48" s="1"/>
      <c r="C48" s="42">
        <f>C35+G35</f>
        <v>312973</v>
      </c>
      <c r="D48" s="1"/>
      <c r="E48" s="1"/>
      <c r="F48" s="1"/>
      <c r="G48" s="1"/>
      <c r="H48" s="1"/>
      <c r="I48" s="1"/>
      <c r="J48" s="1"/>
      <c r="K48" s="1"/>
      <c r="L48" s="1"/>
      <c r="M48" s="4"/>
      <c r="N48" s="4"/>
      <c r="O48" s="1"/>
      <c r="P48" s="1"/>
      <c r="Q48" s="1"/>
      <c r="R48" s="1"/>
      <c r="S48" s="16">
        <v>29</v>
      </c>
      <c r="T48" s="50">
        <f>7671+44</f>
        <v>7715</v>
      </c>
      <c r="U48" s="50">
        <f>4520+920</f>
        <v>5440</v>
      </c>
      <c r="V48" s="50">
        <f t="shared" si="0"/>
        <v>13155</v>
      </c>
      <c r="X48" s="16"/>
    </row>
    <row r="49" spans="1:24" x14ac:dyDescent="0.2">
      <c r="A49" s="1"/>
      <c r="B49" s="1"/>
      <c r="C49" s="1">
        <f>C48/C47</f>
        <v>0.44981797328741824</v>
      </c>
      <c r="D49" s="1"/>
      <c r="E49" s="1"/>
      <c r="F49" s="1"/>
      <c r="G49" s="1"/>
      <c r="H49" s="1"/>
      <c r="I49" s="1"/>
      <c r="J49" s="1"/>
      <c r="K49" s="1"/>
      <c r="L49" s="1"/>
      <c r="M49" s="4"/>
      <c r="N49" s="4"/>
      <c r="O49" s="1"/>
      <c r="P49" s="1"/>
      <c r="Q49" s="1"/>
      <c r="R49" s="1"/>
      <c r="S49" s="16">
        <v>30</v>
      </c>
      <c r="T49" s="16">
        <v>26</v>
      </c>
      <c r="U49" s="16">
        <v>10468</v>
      </c>
      <c r="V49" s="50">
        <f t="shared" si="0"/>
        <v>10494</v>
      </c>
      <c r="X49" s="16">
        <v>20</v>
      </c>
    </row>
    <row r="50" spans="1:2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4"/>
      <c r="N50" s="4"/>
      <c r="O50" s="1"/>
      <c r="P50" s="1"/>
      <c r="Q50" s="1"/>
      <c r="R50" s="1"/>
      <c r="S50" s="58" t="s">
        <v>116</v>
      </c>
      <c r="T50" s="59">
        <f t="shared" ref="T50:V50" si="4">SUM(T20:T49)</f>
        <v>89696</v>
      </c>
      <c r="U50" s="59">
        <f t="shared" si="4"/>
        <v>197598</v>
      </c>
      <c r="V50" s="59">
        <f t="shared" si="4"/>
        <v>287294</v>
      </c>
      <c r="X50" s="50"/>
    </row>
    <row r="51" spans="1:2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4"/>
      <c r="N51" s="4"/>
      <c r="O51" s="1"/>
      <c r="P51" s="1"/>
      <c r="Q51" s="1"/>
      <c r="R51" s="1"/>
      <c r="X51" s="42">
        <f>SUM(X20:X50)</f>
        <v>1503</v>
      </c>
    </row>
    <row r="52" spans="1:2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4"/>
      <c r="O52" s="1"/>
      <c r="P52" s="1"/>
      <c r="Q52" s="1"/>
      <c r="R52" s="1"/>
    </row>
    <row r="53" spans="1:2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4"/>
      <c r="O53" s="1"/>
      <c r="P53" s="1"/>
      <c r="Q53" s="1"/>
      <c r="R53" s="1"/>
    </row>
    <row r="54" spans="1:2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4"/>
      <c r="O54" s="1"/>
      <c r="P54" s="1"/>
      <c r="Q54" s="1"/>
      <c r="R54" s="1"/>
    </row>
    <row r="55" spans="1:2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 t="s">
        <v>36</v>
      </c>
      <c r="N55" s="5">
        <f>SUM(N34:N54)</f>
        <v>47000</v>
      </c>
      <c r="O55" s="1"/>
      <c r="P55" s="1"/>
      <c r="Q55" s="1"/>
      <c r="R55" s="83" t="s">
        <v>11</v>
      </c>
      <c r="S55" s="84"/>
      <c r="T55" s="79"/>
    </row>
    <row r="56" spans="1:24" x14ac:dyDescent="0.2">
      <c r="R56" s="4" t="s">
        <v>13</v>
      </c>
      <c r="S56" s="4" t="s">
        <v>14</v>
      </c>
      <c r="T56" s="4" t="s">
        <v>6</v>
      </c>
    </row>
    <row r="57" spans="1:24" x14ac:dyDescent="0.2">
      <c r="R57" s="18">
        <v>44709</v>
      </c>
      <c r="S57" s="19" t="s">
        <v>126</v>
      </c>
      <c r="T57" s="20">
        <v>1000</v>
      </c>
    </row>
    <row r="58" spans="1:24" x14ac:dyDescent="0.2">
      <c r="R58" s="18">
        <v>44709</v>
      </c>
      <c r="S58" s="19" t="s">
        <v>127</v>
      </c>
      <c r="T58" s="19">
        <v>2000</v>
      </c>
    </row>
    <row r="59" spans="1:24" x14ac:dyDescent="0.2">
      <c r="R59" s="18">
        <v>44709</v>
      </c>
      <c r="S59" s="19" t="s">
        <v>28</v>
      </c>
      <c r="T59" s="19">
        <v>3500</v>
      </c>
    </row>
    <row r="60" spans="1:24" x14ac:dyDescent="0.2">
      <c r="R60" s="18">
        <v>44709</v>
      </c>
      <c r="S60" s="19" t="s">
        <v>122</v>
      </c>
      <c r="T60" s="19">
        <v>2000</v>
      </c>
    </row>
    <row r="61" spans="1:24" x14ac:dyDescent="0.2">
      <c r="R61" s="21">
        <v>44710</v>
      </c>
      <c r="S61" s="19" t="s">
        <v>17</v>
      </c>
      <c r="T61" s="19">
        <v>1000</v>
      </c>
    </row>
    <row r="62" spans="1:24" x14ac:dyDescent="0.2">
      <c r="R62" s="21">
        <v>44710</v>
      </c>
      <c r="S62" s="19" t="s">
        <v>128</v>
      </c>
      <c r="T62" s="19">
        <v>2000</v>
      </c>
    </row>
    <row r="63" spans="1:24" x14ac:dyDescent="0.2">
      <c r="R63" s="21">
        <v>44710</v>
      </c>
      <c r="S63" s="19" t="s">
        <v>23</v>
      </c>
      <c r="T63" s="19">
        <v>500</v>
      </c>
    </row>
    <row r="64" spans="1:24" x14ac:dyDescent="0.2">
      <c r="R64" s="21"/>
      <c r="S64" s="19"/>
      <c r="T64" s="19"/>
    </row>
    <row r="65" spans="18:20" x14ac:dyDescent="0.2">
      <c r="R65" s="21"/>
      <c r="S65" s="19"/>
      <c r="T65" s="19"/>
    </row>
    <row r="66" spans="18:20" x14ac:dyDescent="0.2">
      <c r="R66" s="21"/>
      <c r="S66" s="19"/>
      <c r="T66" s="19"/>
    </row>
    <row r="67" spans="18:20" x14ac:dyDescent="0.2">
      <c r="T67" s="42">
        <f>SUM(T57:T66)</f>
        <v>12000</v>
      </c>
    </row>
  </sheetData>
  <mergeCells count="16">
    <mergeCell ref="B36:C36"/>
    <mergeCell ref="F36:G36"/>
    <mergeCell ref="J36:K36"/>
    <mergeCell ref="T4:V4"/>
    <mergeCell ref="X4:Z4"/>
    <mergeCell ref="S18:V18"/>
    <mergeCell ref="R55:T55"/>
    <mergeCell ref="M2:N2"/>
    <mergeCell ref="M17:N17"/>
    <mergeCell ref="P17:Q17"/>
    <mergeCell ref="M32:N32"/>
    <mergeCell ref="A1:P1"/>
    <mergeCell ref="A3:C3"/>
    <mergeCell ref="E3:G3"/>
    <mergeCell ref="I3:K3"/>
    <mergeCell ref="P4:R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55"/>
  <sheetViews>
    <sheetView topLeftCell="A37" workbookViewId="0">
      <selection activeCell="N55" sqref="N55"/>
    </sheetView>
  </sheetViews>
  <sheetFormatPr defaultColWidth="12.5703125" defaultRowHeight="15.75" customHeight="1" x14ac:dyDescent="0.2"/>
  <cols>
    <col min="1" max="1" width="7" customWidth="1"/>
    <col min="2" max="2" width="6.42578125" customWidth="1"/>
    <col min="3" max="3" width="7.5703125" customWidth="1"/>
    <col min="4" max="4" width="2.85546875" customWidth="1"/>
    <col min="5" max="5" width="7.28515625" customWidth="1"/>
    <col min="6" max="6" width="7.85546875" customWidth="1"/>
    <col min="7" max="7" width="6.5703125" customWidth="1"/>
    <col min="8" max="8" width="4.42578125" customWidth="1"/>
    <col min="9" max="9" width="7.85546875" customWidth="1"/>
    <col min="10" max="10" width="6.42578125" customWidth="1"/>
    <col min="11" max="11" width="6.5703125" customWidth="1"/>
    <col min="12" max="12" width="5.5703125" customWidth="1"/>
    <col min="13" max="13" width="11.42578125" customWidth="1"/>
    <col min="14" max="14" width="6.7109375" customWidth="1"/>
    <col min="15" max="15" width="5.28515625" customWidth="1"/>
    <col min="16" max="16" width="12.140625" customWidth="1"/>
    <col min="17" max="17" width="7.140625" customWidth="1"/>
    <col min="18" max="18" width="8.42578125" customWidth="1"/>
    <col min="19" max="19" width="5.85546875" customWidth="1"/>
    <col min="20" max="20" width="5.42578125" customWidth="1"/>
    <col min="21" max="22" width="6.7109375" customWidth="1"/>
    <col min="23" max="23" width="4.42578125" customWidth="1"/>
    <col min="24" max="24" width="6.42578125" customWidth="1"/>
    <col min="25" max="25" width="7" customWidth="1"/>
    <col min="26" max="26" width="7.42578125" customWidth="1"/>
  </cols>
  <sheetData>
    <row r="1" spans="1:26" x14ac:dyDescent="0.2">
      <c r="A1" s="80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79"/>
      <c r="Q1" s="1"/>
      <c r="R1" s="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5" t="s">
        <v>1</v>
      </c>
      <c r="N2" s="79"/>
      <c r="O2" s="1"/>
      <c r="P2" s="1"/>
      <c r="Q2" s="1"/>
      <c r="R2" s="1"/>
    </row>
    <row r="3" spans="1:26" x14ac:dyDescent="0.2">
      <c r="A3" s="86" t="s">
        <v>2</v>
      </c>
      <c r="B3" s="84"/>
      <c r="C3" s="79"/>
      <c r="D3" s="1"/>
      <c r="E3" s="87" t="s">
        <v>3</v>
      </c>
      <c r="F3" s="84"/>
      <c r="G3" s="79"/>
      <c r="H3" s="1"/>
      <c r="I3" s="88" t="s">
        <v>4</v>
      </c>
      <c r="J3" s="84"/>
      <c r="K3" s="79"/>
      <c r="L3" s="1"/>
      <c r="M3" s="2" t="s">
        <v>5</v>
      </c>
      <c r="N3" s="3" t="s">
        <v>6</v>
      </c>
      <c r="O3" s="1"/>
      <c r="P3" s="1"/>
      <c r="Q3" s="1"/>
      <c r="R3" s="1"/>
    </row>
    <row r="4" spans="1:26" x14ac:dyDescent="0.2">
      <c r="A4" s="4" t="s">
        <v>7</v>
      </c>
      <c r="B4" s="4" t="s">
        <v>8</v>
      </c>
      <c r="C4" s="4" t="s">
        <v>9</v>
      </c>
      <c r="D4" s="1"/>
      <c r="E4" s="4" t="s">
        <v>7</v>
      </c>
      <c r="F4" s="4" t="s">
        <v>8</v>
      </c>
      <c r="G4" s="4" t="s">
        <v>9</v>
      </c>
      <c r="H4" s="1"/>
      <c r="I4" s="4" t="s">
        <v>7</v>
      </c>
      <c r="J4" s="4" t="s">
        <v>8</v>
      </c>
      <c r="K4" s="4" t="s">
        <v>9</v>
      </c>
      <c r="L4" s="1"/>
      <c r="M4" s="16" t="s">
        <v>69</v>
      </c>
      <c r="N4" s="16">
        <v>15000</v>
      </c>
      <c r="O4" s="11">
        <v>5000</v>
      </c>
      <c r="P4" s="83" t="s">
        <v>11</v>
      </c>
      <c r="Q4" s="84"/>
      <c r="R4" s="79"/>
      <c r="T4" s="83" t="s">
        <v>11</v>
      </c>
      <c r="U4" s="84"/>
      <c r="V4" s="79"/>
      <c r="X4" s="83" t="s">
        <v>11</v>
      </c>
      <c r="Y4" s="84"/>
      <c r="Z4" s="79"/>
    </row>
    <row r="5" spans="1:26" x14ac:dyDescent="0.2">
      <c r="A5" s="5">
        <v>1</v>
      </c>
      <c r="B5" s="20">
        <v>2704</v>
      </c>
      <c r="C5" s="20">
        <v>2240</v>
      </c>
      <c r="D5" s="11"/>
      <c r="E5" s="5">
        <v>1</v>
      </c>
      <c r="F5" s="20">
        <v>21280</v>
      </c>
      <c r="G5" s="20">
        <v>11098</v>
      </c>
      <c r="H5" s="7"/>
      <c r="I5" s="5">
        <v>1</v>
      </c>
      <c r="J5" s="20" t="s">
        <v>129</v>
      </c>
      <c r="K5" s="20">
        <v>0</v>
      </c>
      <c r="L5" s="1"/>
      <c r="M5" s="4" t="s">
        <v>12</v>
      </c>
      <c r="N5" s="20">
        <v>18000</v>
      </c>
      <c r="O5" s="11">
        <v>6000</v>
      </c>
      <c r="P5" s="4" t="s">
        <v>13</v>
      </c>
      <c r="Q5" s="4" t="s">
        <v>14</v>
      </c>
      <c r="R5" s="4" t="s">
        <v>6</v>
      </c>
      <c r="T5" s="4" t="s">
        <v>13</v>
      </c>
      <c r="U5" s="4" t="s">
        <v>14</v>
      </c>
      <c r="V5" s="4" t="s">
        <v>6</v>
      </c>
      <c r="X5" s="4" t="s">
        <v>13</v>
      </c>
      <c r="Y5" s="4" t="s">
        <v>14</v>
      </c>
      <c r="Z5" s="4" t="s">
        <v>6</v>
      </c>
    </row>
    <row r="6" spans="1:26" x14ac:dyDescent="0.2">
      <c r="A6" s="5">
        <v>2</v>
      </c>
      <c r="B6" s="20">
        <v>1975</v>
      </c>
      <c r="C6" s="20">
        <v>1905</v>
      </c>
      <c r="D6" s="29"/>
      <c r="E6" s="5">
        <v>2</v>
      </c>
      <c r="F6" s="20">
        <v>15465</v>
      </c>
      <c r="G6" s="20">
        <v>6281</v>
      </c>
      <c r="H6" s="7"/>
      <c r="I6" s="5">
        <v>2</v>
      </c>
      <c r="J6" s="20">
        <v>4400</v>
      </c>
      <c r="K6" s="20">
        <v>0</v>
      </c>
      <c r="L6" s="1"/>
      <c r="M6" s="4" t="s">
        <v>15</v>
      </c>
      <c r="N6" s="20">
        <v>15000</v>
      </c>
      <c r="O6" s="11">
        <v>5000</v>
      </c>
      <c r="P6" s="18"/>
      <c r="Q6" s="19"/>
      <c r="R6" s="20"/>
      <c r="T6" s="18"/>
      <c r="U6" s="19"/>
      <c r="V6" s="20"/>
      <c r="X6" s="18"/>
      <c r="Y6" s="19"/>
      <c r="Z6" s="20"/>
    </row>
    <row r="7" spans="1:26" x14ac:dyDescent="0.2">
      <c r="A7" s="5">
        <v>3</v>
      </c>
      <c r="B7" s="20">
        <v>2655</v>
      </c>
      <c r="C7" s="20">
        <v>1267</v>
      </c>
      <c r="D7" s="7"/>
      <c r="E7" s="5">
        <v>3</v>
      </c>
      <c r="F7" s="20">
        <v>16190</v>
      </c>
      <c r="G7" s="20">
        <v>6991</v>
      </c>
      <c r="H7" s="7"/>
      <c r="I7" s="5">
        <v>3</v>
      </c>
      <c r="J7" s="20">
        <v>2900</v>
      </c>
      <c r="K7" s="20">
        <v>0</v>
      </c>
      <c r="L7" s="11">
        <v>12000</v>
      </c>
      <c r="M7" s="4" t="s">
        <v>19</v>
      </c>
      <c r="N7" s="20">
        <v>13000</v>
      </c>
      <c r="O7" s="11">
        <v>1000</v>
      </c>
      <c r="P7" s="21"/>
      <c r="Q7" s="19"/>
      <c r="R7" s="19"/>
      <c r="T7" s="21"/>
      <c r="U7" s="19"/>
      <c r="V7" s="19"/>
      <c r="X7" s="18"/>
      <c r="Y7" s="19"/>
      <c r="Z7" s="19"/>
    </row>
    <row r="8" spans="1:26" x14ac:dyDescent="0.2">
      <c r="A8" s="5">
        <v>4</v>
      </c>
      <c r="B8" s="19">
        <v>2417</v>
      </c>
      <c r="C8" s="19">
        <v>1712</v>
      </c>
      <c r="D8" s="11"/>
      <c r="E8" s="5">
        <v>4</v>
      </c>
      <c r="F8" s="19">
        <v>24005</v>
      </c>
      <c r="G8" s="19">
        <v>7352</v>
      </c>
      <c r="H8" s="11"/>
      <c r="I8" s="5">
        <v>4</v>
      </c>
      <c r="J8" s="19">
        <v>2000</v>
      </c>
      <c r="K8" s="19">
        <v>0</v>
      </c>
      <c r="L8" s="1"/>
      <c r="M8" s="4" t="s">
        <v>22</v>
      </c>
      <c r="N8" s="20">
        <v>13000</v>
      </c>
      <c r="O8" s="11">
        <v>4000</v>
      </c>
      <c r="P8" s="21"/>
      <c r="Q8" s="19"/>
      <c r="R8" s="19"/>
      <c r="T8" s="21"/>
      <c r="U8" s="19"/>
      <c r="V8" s="19"/>
      <c r="X8" s="21"/>
      <c r="Y8" s="19"/>
      <c r="Z8" s="19"/>
    </row>
    <row r="9" spans="1:26" x14ac:dyDescent="0.2">
      <c r="A9" s="5">
        <v>5</v>
      </c>
      <c r="B9" s="19">
        <v>4807</v>
      </c>
      <c r="C9" s="19">
        <v>2732</v>
      </c>
      <c r="D9" s="11"/>
      <c r="E9" s="5">
        <v>5</v>
      </c>
      <c r="F9" s="19">
        <v>21730</v>
      </c>
      <c r="G9" s="19">
        <v>6823</v>
      </c>
      <c r="H9" s="11"/>
      <c r="I9" s="5">
        <v>5</v>
      </c>
      <c r="J9" s="19">
        <v>10600</v>
      </c>
      <c r="K9" s="19">
        <v>0</v>
      </c>
      <c r="L9" s="1"/>
      <c r="M9" s="4" t="s">
        <v>24</v>
      </c>
      <c r="N9" s="20">
        <v>7000</v>
      </c>
      <c r="O9" s="11">
        <v>2400</v>
      </c>
      <c r="P9" s="21"/>
      <c r="Q9" s="19"/>
      <c r="R9" s="19"/>
      <c r="T9" s="21"/>
      <c r="U9" s="19"/>
      <c r="V9" s="19"/>
      <c r="X9" s="21"/>
      <c r="Y9" s="19"/>
      <c r="Z9" s="19"/>
    </row>
    <row r="10" spans="1:26" x14ac:dyDescent="0.2">
      <c r="A10" s="5">
        <v>6</v>
      </c>
      <c r="B10" s="19">
        <v>0</v>
      </c>
      <c r="C10" s="19">
        <v>0</v>
      </c>
      <c r="D10" s="11" t="s">
        <v>21</v>
      </c>
      <c r="E10" s="5">
        <v>6</v>
      </c>
      <c r="F10" s="19">
        <v>13159</v>
      </c>
      <c r="G10" s="19">
        <v>10527</v>
      </c>
      <c r="H10" s="11"/>
      <c r="I10" s="5">
        <v>6</v>
      </c>
      <c r="J10" s="19">
        <v>3700</v>
      </c>
      <c r="K10" s="19">
        <v>0</v>
      </c>
      <c r="L10" s="1"/>
      <c r="M10" s="4"/>
      <c r="N10" s="20"/>
      <c r="O10" s="1"/>
      <c r="P10" s="21"/>
      <c r="Q10" s="19"/>
      <c r="R10" s="19"/>
      <c r="T10" s="21"/>
      <c r="U10" s="19"/>
      <c r="V10" s="19"/>
      <c r="X10" s="21"/>
      <c r="Y10" s="19"/>
      <c r="Z10" s="19"/>
    </row>
    <row r="11" spans="1:26" x14ac:dyDescent="0.2">
      <c r="A11" s="5">
        <v>7</v>
      </c>
      <c r="B11" s="19">
        <v>8599</v>
      </c>
      <c r="C11" s="19">
        <v>4161</v>
      </c>
      <c r="D11" s="11"/>
      <c r="E11" s="5">
        <v>7</v>
      </c>
      <c r="F11" s="19">
        <v>15812</v>
      </c>
      <c r="G11" s="19">
        <v>8714</v>
      </c>
      <c r="H11" s="11"/>
      <c r="I11" s="5">
        <v>7</v>
      </c>
      <c r="J11" s="19">
        <v>32400</v>
      </c>
      <c r="K11" s="19">
        <v>0</v>
      </c>
      <c r="L11" s="1"/>
      <c r="M11" s="4" t="s">
        <v>29</v>
      </c>
      <c r="N11" s="20">
        <v>13000</v>
      </c>
      <c r="O11" s="40">
        <v>4000</v>
      </c>
      <c r="P11" s="21"/>
      <c r="Q11" s="19"/>
      <c r="R11" s="19"/>
      <c r="T11" s="21"/>
      <c r="U11" s="19"/>
      <c r="V11" s="19"/>
      <c r="X11" s="21"/>
      <c r="Y11" s="19"/>
      <c r="Z11" s="19"/>
    </row>
    <row r="12" spans="1:26" x14ac:dyDescent="0.2">
      <c r="A12" s="5">
        <v>8</v>
      </c>
      <c r="B12" s="19">
        <v>8740</v>
      </c>
      <c r="C12" s="19">
        <v>2185</v>
      </c>
      <c r="D12" s="11"/>
      <c r="E12" s="5">
        <v>8</v>
      </c>
      <c r="F12" s="19">
        <v>25240</v>
      </c>
      <c r="G12" s="19">
        <v>22333</v>
      </c>
      <c r="H12" s="11"/>
      <c r="I12" s="5">
        <v>8</v>
      </c>
      <c r="J12" s="19">
        <v>23000</v>
      </c>
      <c r="K12" s="19">
        <v>0</v>
      </c>
      <c r="L12" s="11"/>
      <c r="M12" s="19" t="s">
        <v>74</v>
      </c>
      <c r="N12" s="20">
        <v>11000</v>
      </c>
      <c r="O12" s="11">
        <v>4000</v>
      </c>
      <c r="P12" s="21"/>
      <c r="Q12" s="19"/>
      <c r="R12" s="19"/>
      <c r="T12" s="21"/>
      <c r="U12" s="19"/>
      <c r="V12" s="19"/>
      <c r="X12" s="21"/>
      <c r="Y12" s="19"/>
      <c r="Z12" s="19"/>
    </row>
    <row r="13" spans="1:26" x14ac:dyDescent="0.2">
      <c r="A13" s="5">
        <v>9</v>
      </c>
      <c r="B13" s="19">
        <v>5645</v>
      </c>
      <c r="C13" s="19">
        <v>1604</v>
      </c>
      <c r="D13" s="11"/>
      <c r="E13" s="5">
        <v>9</v>
      </c>
      <c r="F13" s="19">
        <v>19014</v>
      </c>
      <c r="G13" s="19">
        <v>9863</v>
      </c>
      <c r="H13" s="11"/>
      <c r="I13" s="5">
        <v>9</v>
      </c>
      <c r="J13" s="19">
        <v>3600</v>
      </c>
      <c r="K13" s="19">
        <v>0</v>
      </c>
      <c r="L13" s="11"/>
      <c r="M13" s="19" t="s">
        <v>87</v>
      </c>
      <c r="N13" s="19">
        <v>9000</v>
      </c>
      <c r="O13" s="11"/>
      <c r="P13" s="21"/>
      <c r="Q13" s="19"/>
      <c r="R13" s="19"/>
      <c r="T13" s="21"/>
      <c r="U13" s="19"/>
      <c r="V13" s="19"/>
      <c r="X13" s="21"/>
      <c r="Y13" s="19"/>
      <c r="Z13" s="19"/>
    </row>
    <row r="14" spans="1:26" x14ac:dyDescent="0.2">
      <c r="A14" s="5">
        <v>10</v>
      </c>
      <c r="B14" s="19">
        <v>8808</v>
      </c>
      <c r="C14" s="19">
        <v>1707</v>
      </c>
      <c r="D14" s="11"/>
      <c r="E14" s="5">
        <v>10</v>
      </c>
      <c r="F14" s="19">
        <v>19710</v>
      </c>
      <c r="G14" s="19">
        <v>4907</v>
      </c>
      <c r="H14" s="11"/>
      <c r="I14" s="5">
        <v>10</v>
      </c>
      <c r="J14" s="19">
        <v>16500</v>
      </c>
      <c r="K14" s="19">
        <v>0</v>
      </c>
      <c r="L14" s="1"/>
      <c r="M14" s="19" t="s">
        <v>77</v>
      </c>
      <c r="N14" s="19">
        <v>0</v>
      </c>
      <c r="O14" s="11"/>
      <c r="P14" s="21"/>
      <c r="Q14" s="19"/>
      <c r="R14" s="19"/>
      <c r="T14" s="21"/>
      <c r="U14" s="19"/>
      <c r="V14" s="19"/>
      <c r="X14" s="21"/>
      <c r="Y14" s="19"/>
      <c r="Z14" s="19"/>
    </row>
    <row r="15" spans="1:26" x14ac:dyDescent="0.2">
      <c r="A15" s="5">
        <v>11</v>
      </c>
      <c r="B15" s="19">
        <v>7310</v>
      </c>
      <c r="C15" s="19">
        <v>6462</v>
      </c>
      <c r="D15" s="11"/>
      <c r="E15" s="5">
        <v>11</v>
      </c>
      <c r="F15" s="19">
        <v>20860</v>
      </c>
      <c r="G15" s="19">
        <v>13657</v>
      </c>
      <c r="H15" s="11"/>
      <c r="I15" s="5">
        <v>11</v>
      </c>
      <c r="J15" s="19">
        <v>4900</v>
      </c>
      <c r="K15" s="19">
        <v>0</v>
      </c>
      <c r="L15" s="1"/>
      <c r="M15" s="12" t="s">
        <v>79</v>
      </c>
      <c r="N15" s="13">
        <f>SUM(N4:N14)</f>
        <v>114000</v>
      </c>
      <c r="O15" s="1"/>
      <c r="P15" s="21"/>
      <c r="Q15" s="19"/>
      <c r="R15" s="19"/>
      <c r="T15" s="21"/>
      <c r="U15" s="19"/>
      <c r="V15" s="19"/>
      <c r="X15" s="21"/>
      <c r="Y15" s="19"/>
      <c r="Z15" s="19"/>
    </row>
    <row r="16" spans="1:26" x14ac:dyDescent="0.2">
      <c r="A16" s="5">
        <v>12</v>
      </c>
      <c r="B16" s="19">
        <v>4122</v>
      </c>
      <c r="C16" s="19">
        <v>1442</v>
      </c>
      <c r="D16" s="11"/>
      <c r="E16" s="5">
        <v>12</v>
      </c>
      <c r="F16" s="19">
        <v>21433</v>
      </c>
      <c r="G16" s="19">
        <v>16285</v>
      </c>
      <c r="H16" s="11"/>
      <c r="I16" s="5">
        <v>12</v>
      </c>
      <c r="J16" s="19">
        <v>13700</v>
      </c>
      <c r="K16" s="19">
        <v>0</v>
      </c>
      <c r="L16" s="1"/>
      <c r="M16" s="25"/>
      <c r="N16" s="6"/>
      <c r="O16" s="1"/>
      <c r="P16" s="1"/>
      <c r="Q16" s="1"/>
      <c r="R16" s="1">
        <f>SUM(R10:R15)</f>
        <v>0</v>
      </c>
      <c r="V16" s="42">
        <f>SUM(V6:V15)</f>
        <v>0</v>
      </c>
      <c r="Z16" s="42">
        <f>SUM(Z6:Z15)</f>
        <v>0</v>
      </c>
    </row>
    <row r="17" spans="1:26" x14ac:dyDescent="0.2">
      <c r="A17" s="5">
        <v>13</v>
      </c>
      <c r="B17" s="19">
        <v>0</v>
      </c>
      <c r="C17" s="19">
        <v>0</v>
      </c>
      <c r="D17" s="11" t="s">
        <v>21</v>
      </c>
      <c r="E17" s="5">
        <v>13</v>
      </c>
      <c r="F17" s="19">
        <f>9830+8548</f>
        <v>18378</v>
      </c>
      <c r="G17" s="19">
        <v>7871</v>
      </c>
      <c r="H17" s="11"/>
      <c r="I17" s="5">
        <v>13</v>
      </c>
      <c r="J17" s="19">
        <v>1800</v>
      </c>
      <c r="K17" s="19">
        <v>0</v>
      </c>
      <c r="L17" s="1"/>
      <c r="M17" s="78" t="s">
        <v>37</v>
      </c>
      <c r="N17" s="79"/>
      <c r="O17" s="1"/>
      <c r="P17" s="80" t="s">
        <v>38</v>
      </c>
      <c r="Q17" s="79"/>
      <c r="R17" s="1"/>
      <c r="Z17" s="42">
        <f>R16+V16+Z16+T67</f>
        <v>0</v>
      </c>
    </row>
    <row r="18" spans="1:26" x14ac:dyDescent="0.2">
      <c r="A18" s="5">
        <v>14</v>
      </c>
      <c r="B18" s="19">
        <v>5826</v>
      </c>
      <c r="C18" s="19">
        <v>5249</v>
      </c>
      <c r="D18" s="11"/>
      <c r="E18" s="5">
        <v>14</v>
      </c>
      <c r="F18" s="19">
        <v>11827</v>
      </c>
      <c r="G18" s="19">
        <v>11764</v>
      </c>
      <c r="H18" s="11"/>
      <c r="I18" s="5">
        <v>14</v>
      </c>
      <c r="J18" s="19">
        <v>22900</v>
      </c>
      <c r="K18" s="19">
        <v>0</v>
      </c>
      <c r="L18" s="1"/>
      <c r="M18" s="2" t="s">
        <v>39</v>
      </c>
      <c r="N18" s="3" t="s">
        <v>6</v>
      </c>
      <c r="O18" s="1"/>
      <c r="P18" s="2" t="s">
        <v>5</v>
      </c>
      <c r="Q18" s="3" t="s">
        <v>6</v>
      </c>
      <c r="R18" s="1"/>
      <c r="S18" s="89" t="s">
        <v>105</v>
      </c>
      <c r="T18" s="84"/>
      <c r="U18" s="84"/>
      <c r="V18" s="79"/>
    </row>
    <row r="19" spans="1:26" x14ac:dyDescent="0.2">
      <c r="A19" s="5">
        <v>15</v>
      </c>
      <c r="B19" s="19">
        <v>3280</v>
      </c>
      <c r="C19" s="19">
        <v>1554</v>
      </c>
      <c r="D19" s="11"/>
      <c r="E19" s="5">
        <v>15</v>
      </c>
      <c r="F19" s="19">
        <v>21730</v>
      </c>
      <c r="G19" s="19">
        <v>10573</v>
      </c>
      <c r="H19" s="11"/>
      <c r="I19" s="5">
        <v>15</v>
      </c>
      <c r="J19" s="19">
        <v>2500</v>
      </c>
      <c r="K19" s="19">
        <v>0</v>
      </c>
      <c r="L19" s="1"/>
      <c r="M19" s="4" t="s">
        <v>41</v>
      </c>
      <c r="N19" s="20">
        <v>50000</v>
      </c>
      <c r="O19" s="1"/>
      <c r="P19" s="4" t="s">
        <v>42</v>
      </c>
      <c r="Q19" s="5">
        <f>B35+F35+J35</f>
        <v>898010</v>
      </c>
      <c r="R19" s="1"/>
      <c r="S19" s="16" t="s">
        <v>106</v>
      </c>
      <c r="T19" s="16" t="s">
        <v>68</v>
      </c>
      <c r="U19" s="16" t="s">
        <v>107</v>
      </c>
      <c r="V19" s="16" t="s">
        <v>108</v>
      </c>
      <c r="X19" s="16" t="s">
        <v>109</v>
      </c>
    </row>
    <row r="20" spans="1:26" x14ac:dyDescent="0.2">
      <c r="A20" s="5">
        <v>16</v>
      </c>
      <c r="B20" s="19">
        <v>2440</v>
      </c>
      <c r="C20" s="19">
        <v>2238</v>
      </c>
      <c r="D20" s="11"/>
      <c r="E20" s="5">
        <v>16</v>
      </c>
      <c r="F20" s="19">
        <v>20380</v>
      </c>
      <c r="G20" s="19">
        <v>5998</v>
      </c>
      <c r="H20" s="11"/>
      <c r="I20" s="5">
        <v>16</v>
      </c>
      <c r="J20" s="19">
        <v>800</v>
      </c>
      <c r="K20" s="19">
        <v>0</v>
      </c>
      <c r="L20" s="11"/>
      <c r="M20" s="4" t="s">
        <v>43</v>
      </c>
      <c r="N20" s="19">
        <v>38256</v>
      </c>
      <c r="O20" s="1"/>
      <c r="P20" s="4" t="s">
        <v>44</v>
      </c>
      <c r="Q20" s="5">
        <f>C35+G35+K35+N15+N30+N55</f>
        <v>661955</v>
      </c>
      <c r="R20" s="1"/>
      <c r="S20" s="16">
        <v>1</v>
      </c>
      <c r="T20" s="16">
        <v>7616</v>
      </c>
      <c r="U20" s="50">
        <f>464+4130</f>
        <v>4594</v>
      </c>
      <c r="V20" s="50">
        <f t="shared" ref="V20:V49" si="0">SUM(T20:U20)</f>
        <v>12210</v>
      </c>
      <c r="X20" s="16">
        <v>36</v>
      </c>
    </row>
    <row r="21" spans="1:26" x14ac:dyDescent="0.2">
      <c r="A21" s="5">
        <v>17</v>
      </c>
      <c r="B21" s="19">
        <v>3340</v>
      </c>
      <c r="C21" s="19">
        <v>3044</v>
      </c>
      <c r="D21" s="11"/>
      <c r="E21" s="5">
        <v>17</v>
      </c>
      <c r="F21" s="19">
        <v>20870</v>
      </c>
      <c r="G21" s="19">
        <v>29950</v>
      </c>
      <c r="H21" s="11"/>
      <c r="I21" s="5">
        <v>17</v>
      </c>
      <c r="J21" s="19">
        <v>19190</v>
      </c>
      <c r="K21" s="19">
        <v>0</v>
      </c>
      <c r="L21" s="1"/>
      <c r="M21" s="4" t="s">
        <v>46</v>
      </c>
      <c r="N21" s="5">
        <v>2500</v>
      </c>
      <c r="O21" s="1"/>
      <c r="P21" s="26" t="s">
        <v>47</v>
      </c>
      <c r="Q21" s="27">
        <f>Q19-Q20</f>
        <v>236055</v>
      </c>
      <c r="R21" s="1"/>
      <c r="S21" s="16">
        <v>2</v>
      </c>
      <c r="T21" s="16">
        <f>7344+70</f>
        <v>7414</v>
      </c>
      <c r="U21" s="16">
        <v>6240</v>
      </c>
      <c r="V21" s="50">
        <f t="shared" si="0"/>
        <v>13654</v>
      </c>
      <c r="X21" s="16"/>
    </row>
    <row r="22" spans="1:26" x14ac:dyDescent="0.2">
      <c r="A22" s="5">
        <v>18</v>
      </c>
      <c r="B22" s="19">
        <v>3980</v>
      </c>
      <c r="C22" s="19">
        <v>3647</v>
      </c>
      <c r="D22" s="11"/>
      <c r="E22" s="5">
        <v>18</v>
      </c>
      <c r="F22" s="19">
        <v>18090</v>
      </c>
      <c r="G22" s="19">
        <v>16080</v>
      </c>
      <c r="H22" s="11"/>
      <c r="I22" s="5">
        <v>18</v>
      </c>
      <c r="J22" s="19">
        <v>4300</v>
      </c>
      <c r="K22" s="19">
        <v>0</v>
      </c>
      <c r="L22" s="1"/>
      <c r="M22" s="4"/>
      <c r="N22" s="19"/>
      <c r="O22" s="1"/>
      <c r="P22" s="4" t="s">
        <v>49</v>
      </c>
      <c r="Q22" s="20">
        <v>35000</v>
      </c>
      <c r="R22" s="1"/>
      <c r="S22" s="16">
        <v>3</v>
      </c>
      <c r="T22" s="50">
        <f>4882+2655</f>
        <v>7537</v>
      </c>
      <c r="U22" s="16">
        <v>5930</v>
      </c>
      <c r="V22" s="50">
        <f t="shared" si="0"/>
        <v>13467</v>
      </c>
      <c r="X22" s="16">
        <v>20</v>
      </c>
    </row>
    <row r="23" spans="1:26" x14ac:dyDescent="0.2">
      <c r="A23" s="5">
        <v>19</v>
      </c>
      <c r="B23" s="19">
        <v>1805</v>
      </c>
      <c r="C23" s="19">
        <v>1464</v>
      </c>
      <c r="D23" s="11"/>
      <c r="E23" s="5">
        <v>19</v>
      </c>
      <c r="F23" s="19">
        <v>30283</v>
      </c>
      <c r="G23" s="19">
        <v>8569</v>
      </c>
      <c r="H23" s="11"/>
      <c r="I23" s="5">
        <v>19</v>
      </c>
      <c r="J23" s="19">
        <v>8600</v>
      </c>
      <c r="K23" s="19">
        <v>0</v>
      </c>
      <c r="L23" s="1"/>
      <c r="M23" s="4" t="s">
        <v>50</v>
      </c>
      <c r="N23" s="5">
        <v>1690</v>
      </c>
      <c r="O23" s="1"/>
      <c r="P23" s="1"/>
      <c r="Q23" s="1"/>
      <c r="R23" s="1"/>
      <c r="S23" s="16">
        <v>4</v>
      </c>
      <c r="T23" s="16">
        <f>11723+23</f>
        <v>11746</v>
      </c>
      <c r="U23" s="16">
        <v>6930</v>
      </c>
      <c r="V23" s="50">
        <f t="shared" si="0"/>
        <v>18676</v>
      </c>
      <c r="X23" s="16"/>
    </row>
    <row r="24" spans="1:26" x14ac:dyDescent="0.2">
      <c r="A24" s="5">
        <v>20</v>
      </c>
      <c r="B24" s="19">
        <v>0</v>
      </c>
      <c r="C24" s="19">
        <v>0</v>
      </c>
      <c r="D24" s="11" t="s">
        <v>21</v>
      </c>
      <c r="E24" s="5">
        <v>20</v>
      </c>
      <c r="F24" s="19">
        <v>9417</v>
      </c>
      <c r="G24" s="19">
        <v>7340</v>
      </c>
      <c r="H24" s="11"/>
      <c r="I24" s="5">
        <v>20</v>
      </c>
      <c r="J24" s="19">
        <v>3000</v>
      </c>
      <c r="K24" s="19">
        <v>0</v>
      </c>
      <c r="L24" s="1"/>
      <c r="M24" s="4" t="s">
        <v>51</v>
      </c>
      <c r="N24" s="20">
        <v>5000</v>
      </c>
      <c r="O24" s="1"/>
      <c r="P24" s="1"/>
      <c r="Q24" s="1"/>
      <c r="R24" s="1"/>
      <c r="S24" s="16">
        <v>5</v>
      </c>
      <c r="T24" s="16">
        <f>4807+17507</f>
        <v>22314</v>
      </c>
      <c r="U24" s="16">
        <f>2062+7900</f>
        <v>9962</v>
      </c>
      <c r="V24" s="50">
        <f t="shared" si="0"/>
        <v>32276</v>
      </c>
      <c r="X24" s="16">
        <v>100</v>
      </c>
    </row>
    <row r="25" spans="1:26" x14ac:dyDescent="0.2">
      <c r="A25" s="5">
        <v>21</v>
      </c>
      <c r="B25" s="19">
        <v>1426</v>
      </c>
      <c r="C25" s="19">
        <v>325</v>
      </c>
      <c r="D25" s="11"/>
      <c r="E25" s="5">
        <v>21</v>
      </c>
      <c r="F25" s="19">
        <v>22195</v>
      </c>
      <c r="G25" s="19">
        <v>19133</v>
      </c>
      <c r="H25" s="11"/>
      <c r="I25" s="5">
        <v>21</v>
      </c>
      <c r="J25" s="19">
        <v>3600</v>
      </c>
      <c r="K25" s="19">
        <v>0</v>
      </c>
      <c r="L25" s="11"/>
      <c r="M25" s="19" t="s">
        <v>89</v>
      </c>
      <c r="N25" s="4"/>
      <c r="O25" s="1"/>
      <c r="P25" s="1"/>
      <c r="Q25" s="1"/>
      <c r="R25" s="1"/>
      <c r="S25" s="16">
        <v>6</v>
      </c>
      <c r="T25" s="16">
        <v>42</v>
      </c>
      <c r="U25" s="16">
        <v>6290</v>
      </c>
      <c r="V25" s="50">
        <f t="shared" si="0"/>
        <v>6332</v>
      </c>
      <c r="X25" s="16"/>
    </row>
    <row r="26" spans="1:26" x14ac:dyDescent="0.2">
      <c r="A26" s="5">
        <v>22</v>
      </c>
      <c r="B26" s="19">
        <v>2780</v>
      </c>
      <c r="C26" s="19">
        <v>2778</v>
      </c>
      <c r="D26" s="11"/>
      <c r="E26" s="5">
        <v>22</v>
      </c>
      <c r="F26" s="19">
        <v>24160</v>
      </c>
      <c r="G26" s="19">
        <v>13972</v>
      </c>
      <c r="H26" s="11"/>
      <c r="I26" s="5">
        <v>22</v>
      </c>
      <c r="J26" s="19">
        <v>1900</v>
      </c>
      <c r="K26" s="19">
        <v>0</v>
      </c>
      <c r="L26" s="1"/>
      <c r="M26" s="19"/>
      <c r="N26" s="19"/>
      <c r="O26" s="1"/>
      <c r="P26" s="1"/>
      <c r="Q26" s="1"/>
      <c r="R26" s="1"/>
      <c r="S26" s="16">
        <v>7</v>
      </c>
      <c r="T26" s="50">
        <f>13158+59</f>
        <v>13217</v>
      </c>
      <c r="U26" s="16">
        <f>4380+26305</f>
        <v>30685</v>
      </c>
      <c r="V26" s="50">
        <f t="shared" si="0"/>
        <v>43902</v>
      </c>
      <c r="X26" s="16"/>
    </row>
    <row r="27" spans="1:26" x14ac:dyDescent="0.2">
      <c r="A27" s="5">
        <v>23</v>
      </c>
      <c r="B27" s="19">
        <v>160</v>
      </c>
      <c r="C27" s="19">
        <v>122</v>
      </c>
      <c r="D27" s="11"/>
      <c r="E27" s="5">
        <v>23</v>
      </c>
      <c r="F27" s="19">
        <v>18522</v>
      </c>
      <c r="G27" s="19">
        <v>13625</v>
      </c>
      <c r="H27" s="11"/>
      <c r="I27" s="5">
        <v>23</v>
      </c>
      <c r="J27" s="19">
        <v>2000</v>
      </c>
      <c r="K27" s="19">
        <v>0</v>
      </c>
      <c r="L27" s="1"/>
      <c r="M27" s="19"/>
      <c r="N27" s="19"/>
      <c r="O27" s="1"/>
      <c r="P27" s="1">
        <f>(N15+N55)-Z17</f>
        <v>165500</v>
      </c>
      <c r="Q27" s="1"/>
      <c r="R27" s="1"/>
      <c r="S27" s="16">
        <v>8</v>
      </c>
      <c r="T27" s="50">
        <f>25+15435</f>
        <v>15460</v>
      </c>
      <c r="U27" s="16">
        <f>6530+10397</f>
        <v>16927</v>
      </c>
      <c r="V27" s="50">
        <f t="shared" si="0"/>
        <v>32387</v>
      </c>
      <c r="X27" s="16">
        <v>75</v>
      </c>
    </row>
    <row r="28" spans="1:26" x14ac:dyDescent="0.2">
      <c r="A28" s="5">
        <v>24</v>
      </c>
      <c r="B28" s="19">
        <v>3794</v>
      </c>
      <c r="C28" s="19">
        <v>956</v>
      </c>
      <c r="D28" s="11"/>
      <c r="E28" s="5">
        <v>24</v>
      </c>
      <c r="F28" s="19">
        <v>13532</v>
      </c>
      <c r="G28" s="19">
        <v>9371</v>
      </c>
      <c r="H28" s="11"/>
      <c r="I28" s="5">
        <v>24</v>
      </c>
      <c r="J28" s="19">
        <v>3200</v>
      </c>
      <c r="K28" s="19">
        <v>0</v>
      </c>
      <c r="L28" s="1"/>
      <c r="M28" s="4"/>
      <c r="N28" s="4"/>
      <c r="O28" s="1"/>
      <c r="P28" s="11"/>
      <c r="Q28" s="11"/>
      <c r="R28" s="1"/>
      <c r="S28" s="16">
        <v>9</v>
      </c>
      <c r="T28" s="50">
        <f t="shared" ref="T28:T29" si="1">81+4582</f>
        <v>4663</v>
      </c>
      <c r="U28" s="16">
        <f>8170+3920</f>
        <v>12090</v>
      </c>
      <c r="V28" s="50">
        <f t="shared" si="0"/>
        <v>16753</v>
      </c>
      <c r="X28" s="16">
        <v>40</v>
      </c>
    </row>
    <row r="29" spans="1:26" x14ac:dyDescent="0.2">
      <c r="A29" s="5">
        <v>25</v>
      </c>
      <c r="B29" s="19">
        <v>0</v>
      </c>
      <c r="C29" s="19">
        <v>0</v>
      </c>
      <c r="D29" s="11"/>
      <c r="E29" s="5">
        <v>25</v>
      </c>
      <c r="F29" s="19">
        <v>15728</v>
      </c>
      <c r="G29" s="19">
        <v>7133</v>
      </c>
      <c r="H29" s="11"/>
      <c r="I29" s="5">
        <v>25</v>
      </c>
      <c r="J29" s="19">
        <v>3050</v>
      </c>
      <c r="K29" s="19">
        <v>0</v>
      </c>
      <c r="L29" s="1"/>
      <c r="M29" s="4"/>
      <c r="N29" s="4"/>
      <c r="O29" s="1"/>
      <c r="P29" s="11"/>
      <c r="Q29" s="1"/>
      <c r="R29" s="1"/>
      <c r="S29" s="16">
        <v>10</v>
      </c>
      <c r="T29" s="50">
        <f t="shared" si="1"/>
        <v>4663</v>
      </c>
      <c r="U29" s="50">
        <f>376+6670</f>
        <v>7046</v>
      </c>
      <c r="V29" s="50">
        <f t="shared" si="0"/>
        <v>11709</v>
      </c>
      <c r="X29" s="16">
        <v>54</v>
      </c>
    </row>
    <row r="30" spans="1:26" x14ac:dyDescent="0.2">
      <c r="A30" s="5">
        <v>26</v>
      </c>
      <c r="B30" s="19">
        <v>702</v>
      </c>
      <c r="C30" s="19">
        <v>420</v>
      </c>
      <c r="D30" s="11"/>
      <c r="E30" s="5">
        <v>26</v>
      </c>
      <c r="F30" s="19">
        <v>30090</v>
      </c>
      <c r="G30" s="19">
        <v>9165</v>
      </c>
      <c r="H30" s="11"/>
      <c r="I30" s="5">
        <v>26</v>
      </c>
      <c r="J30" s="19">
        <v>22700</v>
      </c>
      <c r="K30" s="19">
        <v>0</v>
      </c>
      <c r="L30" s="1"/>
      <c r="M30" s="12" t="s">
        <v>36</v>
      </c>
      <c r="N30" s="13">
        <f>SUM(N19:N29)</f>
        <v>97446</v>
      </c>
      <c r="O30" s="1"/>
      <c r="P30" s="1"/>
      <c r="Q30" s="11"/>
      <c r="R30" s="1"/>
      <c r="S30" s="16">
        <v>11</v>
      </c>
      <c r="T30" s="16">
        <f>302+8</f>
        <v>310</v>
      </c>
      <c r="U30" s="16">
        <f>840+11600</f>
        <v>12440</v>
      </c>
      <c r="V30" s="50">
        <f t="shared" si="0"/>
        <v>12750</v>
      </c>
      <c r="X30" s="16"/>
    </row>
    <row r="31" spans="1:26" x14ac:dyDescent="0.2">
      <c r="A31" s="5">
        <v>27</v>
      </c>
      <c r="B31" s="19">
        <v>0</v>
      </c>
      <c r="C31" s="19">
        <v>0</v>
      </c>
      <c r="D31" s="11" t="s">
        <v>21</v>
      </c>
      <c r="E31" s="5">
        <v>27</v>
      </c>
      <c r="F31" s="19">
        <v>8790</v>
      </c>
      <c r="G31" s="19">
        <v>4560</v>
      </c>
      <c r="H31" s="11"/>
      <c r="I31" s="5">
        <v>27</v>
      </c>
      <c r="J31" s="19">
        <v>500</v>
      </c>
      <c r="K31" s="19">
        <v>0</v>
      </c>
      <c r="L31" s="1"/>
      <c r="M31" s="1"/>
      <c r="N31" s="1"/>
      <c r="O31" s="1"/>
      <c r="P31" s="1"/>
      <c r="Q31" s="1"/>
      <c r="R31" s="1"/>
      <c r="S31" s="16">
        <v>12</v>
      </c>
      <c r="T31" s="50">
        <f>50+10344</f>
        <v>10394</v>
      </c>
      <c r="U31" s="50">
        <f>2622+8503</f>
        <v>11125</v>
      </c>
      <c r="V31" s="50">
        <f t="shared" si="0"/>
        <v>21519</v>
      </c>
      <c r="X31" s="16">
        <v>8</v>
      </c>
    </row>
    <row r="32" spans="1:26" x14ac:dyDescent="0.2">
      <c r="A32" s="5">
        <v>28</v>
      </c>
      <c r="B32" s="19">
        <v>1810</v>
      </c>
      <c r="C32" s="19">
        <v>1786</v>
      </c>
      <c r="D32" s="11"/>
      <c r="E32" s="5">
        <v>28</v>
      </c>
      <c r="F32" s="19">
        <v>12215</v>
      </c>
      <c r="G32" s="19">
        <v>7864</v>
      </c>
      <c r="H32" s="1"/>
      <c r="I32" s="5">
        <v>28</v>
      </c>
      <c r="J32" s="19">
        <v>0</v>
      </c>
      <c r="K32" s="19">
        <v>0</v>
      </c>
      <c r="L32" s="1"/>
      <c r="M32" s="81" t="s">
        <v>53</v>
      </c>
      <c r="N32" s="79"/>
      <c r="O32" s="1"/>
      <c r="P32" s="1"/>
      <c r="Q32" s="1"/>
      <c r="R32" s="1"/>
      <c r="S32" s="16">
        <v>13</v>
      </c>
      <c r="T32" s="16">
        <v>559</v>
      </c>
      <c r="U32" s="16">
        <v>3200</v>
      </c>
      <c r="V32" s="50">
        <f t="shared" si="0"/>
        <v>3759</v>
      </c>
      <c r="X32" s="16"/>
    </row>
    <row r="33" spans="1:24" x14ac:dyDescent="0.2">
      <c r="A33" s="5">
        <v>29</v>
      </c>
      <c r="B33" s="19">
        <v>1980</v>
      </c>
      <c r="C33" s="19">
        <v>1925</v>
      </c>
      <c r="D33" s="1"/>
      <c r="E33" s="5">
        <v>29</v>
      </c>
      <c r="F33" s="19">
        <v>20730</v>
      </c>
      <c r="G33" s="19">
        <v>15808</v>
      </c>
      <c r="H33" s="1"/>
      <c r="I33" s="5">
        <v>29</v>
      </c>
      <c r="J33" s="19">
        <v>4500</v>
      </c>
      <c r="K33" s="19">
        <v>0</v>
      </c>
      <c r="L33" s="1"/>
      <c r="M33" s="2" t="s">
        <v>39</v>
      </c>
      <c r="N33" s="3" t="s">
        <v>6</v>
      </c>
      <c r="O33" s="1"/>
      <c r="P33" s="1"/>
      <c r="Q33" s="1"/>
      <c r="R33" s="1"/>
      <c r="S33" s="16">
        <v>14</v>
      </c>
      <c r="T33" s="16">
        <v>1930</v>
      </c>
      <c r="U33" s="16">
        <v>21532</v>
      </c>
      <c r="V33" s="50">
        <f t="shared" si="0"/>
        <v>23462</v>
      </c>
      <c r="X33" s="16">
        <v>78</v>
      </c>
    </row>
    <row r="34" spans="1:24" x14ac:dyDescent="0.2">
      <c r="A34" s="5">
        <v>30</v>
      </c>
      <c r="B34" s="19">
        <v>1034</v>
      </c>
      <c r="C34" s="19">
        <v>585</v>
      </c>
      <c r="D34" s="11"/>
      <c r="E34" s="5">
        <v>30</v>
      </c>
      <c r="F34" s="19">
        <v>29296</v>
      </c>
      <c r="G34" s="19">
        <v>21892</v>
      </c>
      <c r="H34" s="1"/>
      <c r="I34" s="5">
        <v>30</v>
      </c>
      <c r="J34" s="19">
        <v>3500</v>
      </c>
      <c r="K34" s="19">
        <v>0</v>
      </c>
      <c r="L34" s="1"/>
      <c r="M34" s="19" t="s">
        <v>96</v>
      </c>
      <c r="N34" s="19">
        <v>17000</v>
      </c>
      <c r="O34" s="11">
        <v>6000</v>
      </c>
      <c r="P34" s="1"/>
      <c r="Q34" s="1"/>
      <c r="R34" s="1"/>
      <c r="S34" s="16">
        <v>15</v>
      </c>
      <c r="T34" s="50">
        <f>136+9587</f>
        <v>9723</v>
      </c>
      <c r="U34" s="50">
        <f>4060+1590</f>
        <v>5650</v>
      </c>
      <c r="V34" s="50">
        <f t="shared" si="0"/>
        <v>15373</v>
      </c>
      <c r="X34" s="16">
        <v>10</v>
      </c>
    </row>
    <row r="35" spans="1:24" x14ac:dyDescent="0.2">
      <c r="A35" s="12" t="s">
        <v>36</v>
      </c>
      <c r="B35" s="13">
        <f t="shared" ref="B35:C35" si="2">SUM(B5:B34)+B37</f>
        <v>92139</v>
      </c>
      <c r="C35" s="13">
        <f t="shared" si="2"/>
        <v>53510</v>
      </c>
      <c r="D35" s="1"/>
      <c r="E35" s="12" t="s">
        <v>36</v>
      </c>
      <c r="F35" s="13">
        <f t="shared" ref="F35:G35" si="3">SUM(F5:F34)+F37</f>
        <v>580131</v>
      </c>
      <c r="G35" s="13">
        <f t="shared" si="3"/>
        <v>345499</v>
      </c>
      <c r="H35" s="1"/>
      <c r="I35" s="12" t="s">
        <v>36</v>
      </c>
      <c r="J35" s="13">
        <f t="shared" ref="J35:K35" si="4">SUM(J5:J34)+J37</f>
        <v>225740</v>
      </c>
      <c r="K35" s="13">
        <f t="shared" si="4"/>
        <v>0</v>
      </c>
      <c r="L35" s="1"/>
      <c r="M35" s="19" t="s">
        <v>102</v>
      </c>
      <c r="N35" s="19">
        <v>12500</v>
      </c>
      <c r="O35" s="11">
        <v>5000</v>
      </c>
      <c r="P35" s="1"/>
      <c r="Q35" s="1"/>
      <c r="R35" s="1"/>
      <c r="S35" s="16">
        <v>16</v>
      </c>
      <c r="T35" s="16">
        <f>7472+202</f>
        <v>7674</v>
      </c>
      <c r="U35" s="16">
        <v>7690</v>
      </c>
      <c r="V35" s="50">
        <f t="shared" si="0"/>
        <v>15364</v>
      </c>
      <c r="X35" s="50"/>
    </row>
    <row r="36" spans="1:24" x14ac:dyDescent="0.2">
      <c r="A36" s="3" t="s">
        <v>56</v>
      </c>
      <c r="B36" s="82">
        <f>B35-C35</f>
        <v>38629</v>
      </c>
      <c r="C36" s="79"/>
      <c r="D36" s="1"/>
      <c r="E36" s="3" t="s">
        <v>56</v>
      </c>
      <c r="F36" s="82">
        <f>F35-G35</f>
        <v>234632</v>
      </c>
      <c r="G36" s="79"/>
      <c r="H36" s="1"/>
      <c r="I36" s="3" t="s">
        <v>56</v>
      </c>
      <c r="J36" s="82">
        <f>J35-K35</f>
        <v>225740</v>
      </c>
      <c r="K36" s="79"/>
      <c r="L36" s="1"/>
      <c r="M36" s="19" t="s">
        <v>112</v>
      </c>
      <c r="N36" s="19">
        <v>10000</v>
      </c>
      <c r="O36" s="11">
        <v>3000</v>
      </c>
      <c r="P36" s="1"/>
      <c r="Q36" s="1"/>
      <c r="R36" s="1"/>
      <c r="S36" s="16">
        <v>17</v>
      </c>
      <c r="T36" s="16">
        <f>6+565</f>
        <v>571</v>
      </c>
      <c r="U36" s="50">
        <f>290+9525</f>
        <v>9815</v>
      </c>
      <c r="V36" s="50">
        <f t="shared" si="0"/>
        <v>10386</v>
      </c>
      <c r="X36" s="16">
        <v>40</v>
      </c>
    </row>
    <row r="37" spans="1:24" x14ac:dyDescent="0.2">
      <c r="A37" s="5">
        <v>31</v>
      </c>
      <c r="B37" s="19"/>
      <c r="C37" s="19"/>
      <c r="D37" s="11"/>
      <c r="E37" s="5">
        <v>31</v>
      </c>
      <c r="F37" s="19"/>
      <c r="G37" s="19"/>
      <c r="H37" s="1"/>
      <c r="I37" s="5">
        <v>31</v>
      </c>
      <c r="J37" s="19"/>
      <c r="K37" s="19"/>
      <c r="L37" s="1"/>
      <c r="M37" s="19" t="s">
        <v>125</v>
      </c>
      <c r="N37" s="19">
        <v>12000</v>
      </c>
      <c r="O37" s="11">
        <v>4000</v>
      </c>
      <c r="P37" s="1"/>
      <c r="Q37" s="1"/>
      <c r="R37" s="11"/>
      <c r="S37" s="16">
        <v>18</v>
      </c>
      <c r="T37" s="16">
        <v>80</v>
      </c>
      <c r="U37" s="16">
        <f>310+6230</f>
        <v>6540</v>
      </c>
      <c r="V37" s="50">
        <f t="shared" si="0"/>
        <v>6620</v>
      </c>
      <c r="X37" s="16">
        <v>33</v>
      </c>
    </row>
    <row r="38" spans="1:2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4"/>
      <c r="N38" s="54"/>
      <c r="O38" s="1"/>
      <c r="P38" s="1">
        <f>C47-C48-Z17-N26-N27</f>
        <v>499001</v>
      </c>
      <c r="Q38" s="1"/>
      <c r="R38" s="1"/>
      <c r="S38" s="16">
        <v>19</v>
      </c>
      <c r="T38" s="16">
        <v>52</v>
      </c>
      <c r="U38" s="16">
        <v>4985</v>
      </c>
      <c r="V38" s="50">
        <f t="shared" si="0"/>
        <v>5037</v>
      </c>
      <c r="X38" s="16">
        <v>10</v>
      </c>
    </row>
    <row r="39" spans="1:2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9"/>
      <c r="N39" s="19"/>
      <c r="O39" s="1"/>
      <c r="P39" s="1"/>
      <c r="Q39" s="1"/>
      <c r="R39" s="1"/>
      <c r="S39" s="16">
        <v>20</v>
      </c>
      <c r="T39" s="50"/>
      <c r="U39" s="16"/>
      <c r="V39" s="50">
        <f t="shared" si="0"/>
        <v>0</v>
      </c>
      <c r="X39" s="16">
        <v>55</v>
      </c>
    </row>
    <row r="40" spans="1:2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"/>
      <c r="N40" s="4"/>
      <c r="O40" s="1"/>
      <c r="P40" s="1"/>
      <c r="Q40" s="1"/>
      <c r="R40" s="1"/>
      <c r="S40" s="16">
        <v>21</v>
      </c>
      <c r="T40" s="50"/>
      <c r="U40" s="50"/>
      <c r="V40" s="50">
        <f t="shared" si="0"/>
        <v>0</v>
      </c>
      <c r="X40" s="16"/>
    </row>
    <row r="41" spans="1:24" x14ac:dyDescent="0.2">
      <c r="A41" s="1"/>
      <c r="B41" s="1"/>
      <c r="C41" s="1"/>
      <c r="D41" s="1"/>
      <c r="E41" s="1"/>
      <c r="F41" s="1"/>
      <c r="G41" s="90" t="s">
        <v>130</v>
      </c>
      <c r="H41" s="91"/>
      <c r="I41" s="1"/>
      <c r="J41" s="1"/>
      <c r="K41" s="1"/>
      <c r="L41" s="1"/>
      <c r="M41" s="4"/>
      <c r="N41" s="4"/>
      <c r="O41" s="1"/>
      <c r="P41" s="1"/>
      <c r="Q41" s="1"/>
      <c r="R41" s="1"/>
      <c r="S41" s="16">
        <v>22</v>
      </c>
      <c r="T41" s="50"/>
      <c r="U41" s="50"/>
      <c r="V41" s="50">
        <f t="shared" si="0"/>
        <v>0</v>
      </c>
      <c r="X41" s="16"/>
    </row>
    <row r="42" spans="1:24" x14ac:dyDescent="0.2">
      <c r="A42" s="1"/>
      <c r="B42" s="1"/>
      <c r="C42" s="1"/>
      <c r="D42" s="1"/>
      <c r="E42" s="1"/>
      <c r="F42" s="1"/>
      <c r="G42" s="11" t="s">
        <v>106</v>
      </c>
      <c r="H42" s="11" t="s">
        <v>131</v>
      </c>
      <c r="I42" s="1"/>
      <c r="J42" s="1"/>
      <c r="K42" s="1"/>
      <c r="L42" s="1"/>
      <c r="M42" s="4"/>
      <c r="N42" s="4"/>
      <c r="O42" s="1"/>
      <c r="P42" s="1"/>
      <c r="Q42" s="1"/>
      <c r="R42" s="1"/>
      <c r="S42" s="16">
        <v>23</v>
      </c>
      <c r="T42" s="50">
        <f>1477+38</f>
        <v>1515</v>
      </c>
      <c r="U42" s="16">
        <v>5420</v>
      </c>
      <c r="V42" s="50">
        <f t="shared" si="0"/>
        <v>6935</v>
      </c>
      <c r="X42" s="16"/>
    </row>
    <row r="43" spans="1:24" x14ac:dyDescent="0.2">
      <c r="A43" s="1"/>
      <c r="B43" s="1"/>
      <c r="C43" s="1"/>
      <c r="D43" s="1"/>
      <c r="E43" s="1"/>
      <c r="F43" s="1"/>
      <c r="G43" s="60">
        <v>44717</v>
      </c>
      <c r="H43" s="11">
        <v>1000</v>
      </c>
      <c r="I43" s="1"/>
      <c r="J43" s="1"/>
      <c r="K43" s="1"/>
      <c r="L43" s="1"/>
      <c r="M43" s="4"/>
      <c r="N43" s="4"/>
      <c r="O43" s="1"/>
      <c r="P43" s="1"/>
      <c r="Q43" s="1"/>
      <c r="R43" s="1"/>
      <c r="S43" s="16">
        <v>24</v>
      </c>
      <c r="T43" s="50"/>
      <c r="U43" s="50"/>
      <c r="V43" s="50">
        <f t="shared" si="0"/>
        <v>0</v>
      </c>
      <c r="X43" s="16"/>
    </row>
    <row r="44" spans="1:24" x14ac:dyDescent="0.2">
      <c r="A44" s="1"/>
      <c r="B44" s="1"/>
      <c r="C44" s="1"/>
      <c r="D44" s="1"/>
      <c r="E44" s="1"/>
      <c r="F44" s="1"/>
      <c r="G44" s="60">
        <v>44720</v>
      </c>
      <c r="H44" s="11">
        <v>1500</v>
      </c>
      <c r="I44" s="1"/>
      <c r="J44" s="1"/>
      <c r="K44" s="1"/>
      <c r="L44" s="1"/>
      <c r="M44" s="4"/>
      <c r="N44" s="4"/>
      <c r="O44" s="1"/>
      <c r="P44" s="1"/>
      <c r="Q44" s="1"/>
      <c r="R44" s="1"/>
      <c r="S44" s="16">
        <v>25</v>
      </c>
      <c r="T44" s="16"/>
      <c r="U44" s="16"/>
      <c r="V44" s="50">
        <f t="shared" si="0"/>
        <v>0</v>
      </c>
      <c r="X44" s="16"/>
    </row>
    <row r="45" spans="1:24" x14ac:dyDescent="0.2">
      <c r="A45" s="1"/>
      <c r="B45" s="1"/>
      <c r="C45" s="1"/>
      <c r="D45" s="1"/>
      <c r="E45" s="1"/>
      <c r="F45" s="1"/>
      <c r="G45" s="60">
        <v>44731</v>
      </c>
      <c r="H45" s="11">
        <v>1000</v>
      </c>
      <c r="I45" s="1"/>
      <c r="J45" s="1"/>
      <c r="K45" s="1"/>
      <c r="L45" s="1"/>
      <c r="M45" s="4"/>
      <c r="N45" s="4"/>
      <c r="O45" s="1"/>
      <c r="P45" s="1"/>
      <c r="Q45" s="1"/>
      <c r="R45" s="1"/>
      <c r="S45" s="16">
        <v>26</v>
      </c>
      <c r="T45" s="16">
        <f>31087+10</f>
        <v>31097</v>
      </c>
      <c r="U45" s="16">
        <f>272+12535</f>
        <v>12807</v>
      </c>
      <c r="V45" s="50">
        <f t="shared" si="0"/>
        <v>43904</v>
      </c>
      <c r="X45" s="50"/>
    </row>
    <row r="46" spans="1:2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4"/>
      <c r="N46" s="4"/>
      <c r="O46" s="1"/>
      <c r="P46" s="1"/>
      <c r="Q46" s="1"/>
      <c r="R46" s="1"/>
      <c r="S46" s="16">
        <v>27</v>
      </c>
      <c r="T46" s="16">
        <v>50</v>
      </c>
      <c r="U46" s="16">
        <v>4565</v>
      </c>
      <c r="V46" s="50">
        <f t="shared" si="0"/>
        <v>4615</v>
      </c>
      <c r="X46" s="16">
        <v>115</v>
      </c>
    </row>
    <row r="47" spans="1:24" x14ac:dyDescent="0.2">
      <c r="A47" s="1"/>
      <c r="B47" s="1"/>
      <c r="C47" s="1">
        <f>(B35+F35+J35)</f>
        <v>898010</v>
      </c>
      <c r="D47" s="1"/>
      <c r="E47" s="1"/>
      <c r="F47" s="1"/>
      <c r="G47" s="1"/>
      <c r="H47" s="1"/>
      <c r="I47" s="1"/>
      <c r="J47" s="1"/>
      <c r="K47" s="1"/>
      <c r="L47" s="1"/>
      <c r="M47" s="4"/>
      <c r="N47" s="4"/>
      <c r="O47" s="1"/>
      <c r="P47" s="1"/>
      <c r="Q47" s="1"/>
      <c r="R47" s="1"/>
      <c r="S47" s="16">
        <v>28</v>
      </c>
      <c r="T47" s="50">
        <f>31+24</f>
        <v>55</v>
      </c>
      <c r="U47" s="16">
        <v>4306</v>
      </c>
      <c r="V47" s="50">
        <f t="shared" si="0"/>
        <v>4361</v>
      </c>
      <c r="X47" s="16">
        <v>14</v>
      </c>
    </row>
    <row r="48" spans="1:24" x14ac:dyDescent="0.2">
      <c r="A48" s="1"/>
      <c r="B48" s="1"/>
      <c r="C48" s="42">
        <f>C35+G35</f>
        <v>399009</v>
      </c>
      <c r="D48" s="1"/>
      <c r="E48" s="1"/>
      <c r="F48" s="1"/>
      <c r="G48" s="1"/>
      <c r="H48" s="1"/>
      <c r="I48" s="1"/>
      <c r="J48" s="1"/>
      <c r="K48" s="1"/>
      <c r="L48" s="1"/>
      <c r="M48" s="4"/>
      <c r="N48" s="4"/>
      <c r="O48" s="1"/>
      <c r="P48" s="11">
        <v>105100</v>
      </c>
      <c r="Q48" s="1"/>
      <c r="R48" s="1"/>
      <c r="S48" s="16">
        <v>29</v>
      </c>
      <c r="T48" s="16" t="s">
        <v>45</v>
      </c>
      <c r="U48" s="50"/>
      <c r="V48" s="50">
        <f t="shared" si="0"/>
        <v>0</v>
      </c>
      <c r="X48" s="16"/>
    </row>
    <row r="49" spans="1:24" x14ac:dyDescent="0.2">
      <c r="A49" s="1"/>
      <c r="B49" s="1"/>
      <c r="C49" s="1">
        <f>C48/C47</f>
        <v>0.44432578701796194</v>
      </c>
      <c r="D49" s="1"/>
      <c r="E49" s="1"/>
      <c r="F49" s="1"/>
      <c r="G49" s="1"/>
      <c r="H49" s="1"/>
      <c r="I49" s="1"/>
      <c r="J49" s="1"/>
      <c r="K49" s="1"/>
      <c r="L49" s="1"/>
      <c r="M49" s="4"/>
      <c r="N49" s="4"/>
      <c r="O49" s="1"/>
      <c r="P49" s="1"/>
      <c r="Q49" s="1"/>
      <c r="R49" s="1"/>
      <c r="S49" s="16">
        <v>30</v>
      </c>
      <c r="T49" s="16"/>
      <c r="U49" s="16"/>
      <c r="V49" s="50">
        <f t="shared" si="0"/>
        <v>0</v>
      </c>
      <c r="X49" s="16"/>
    </row>
    <row r="50" spans="1:2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4"/>
      <c r="N50" s="4"/>
      <c r="O50" s="1"/>
      <c r="P50" s="1"/>
      <c r="Q50" s="1"/>
      <c r="R50" s="1"/>
      <c r="S50" s="58" t="s">
        <v>116</v>
      </c>
      <c r="T50" s="59">
        <f t="shared" ref="T50:V50" si="5">SUM(T20:T49)</f>
        <v>158682</v>
      </c>
      <c r="U50" s="59">
        <f t="shared" si="5"/>
        <v>216769</v>
      </c>
      <c r="V50" s="59">
        <f t="shared" si="5"/>
        <v>375451</v>
      </c>
      <c r="X50" s="50"/>
    </row>
    <row r="51" spans="1:2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4"/>
      <c r="N51" s="4"/>
      <c r="O51" s="1"/>
      <c r="P51" s="1"/>
      <c r="Q51" s="1"/>
      <c r="R51" s="1"/>
      <c r="X51" s="42">
        <f>SUM(X20:X50)</f>
        <v>688</v>
      </c>
    </row>
    <row r="52" spans="1:2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4"/>
      <c r="O52" s="1"/>
      <c r="P52" s="1"/>
      <c r="Q52" s="1"/>
      <c r="R52" s="1"/>
    </row>
    <row r="53" spans="1:2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4"/>
      <c r="O53" s="1"/>
      <c r="P53" s="1"/>
      <c r="Q53" s="1"/>
      <c r="R53" s="1"/>
    </row>
    <row r="54" spans="1:2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4"/>
      <c r="O54" s="1"/>
      <c r="P54" s="1"/>
      <c r="Q54" s="1"/>
      <c r="R54" s="1"/>
    </row>
    <row r="55" spans="1:2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 t="s">
        <v>36</v>
      </c>
      <c r="N55" s="5">
        <f>SUM(N34:N54)</f>
        <v>51500</v>
      </c>
      <c r="O55" s="1"/>
      <c r="P55" s="1"/>
      <c r="Q55" s="1"/>
      <c r="R55" s="1"/>
      <c r="S55" s="1"/>
      <c r="T55" s="1"/>
    </row>
  </sheetData>
  <mergeCells count="16">
    <mergeCell ref="B36:C36"/>
    <mergeCell ref="J36:K36"/>
    <mergeCell ref="T4:V4"/>
    <mergeCell ref="X4:Z4"/>
    <mergeCell ref="F36:G36"/>
    <mergeCell ref="G41:H41"/>
    <mergeCell ref="M2:N2"/>
    <mergeCell ref="M17:N17"/>
    <mergeCell ref="P17:Q17"/>
    <mergeCell ref="S18:V18"/>
    <mergeCell ref="M32:N32"/>
    <mergeCell ref="A1:P1"/>
    <mergeCell ref="A3:C3"/>
    <mergeCell ref="E3:G3"/>
    <mergeCell ref="I3:K3"/>
    <mergeCell ref="P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October 2021</vt:lpstr>
      <vt:lpstr>November 2021</vt:lpstr>
      <vt:lpstr>December 2021</vt:lpstr>
      <vt:lpstr>January 2022</vt:lpstr>
      <vt:lpstr>February 2022</vt:lpstr>
      <vt:lpstr>March 2022</vt:lpstr>
      <vt:lpstr>April 2022</vt:lpstr>
      <vt:lpstr>May 2022</vt:lpstr>
      <vt:lpstr>June 2022</vt:lpstr>
      <vt:lpstr>July 2022</vt:lpstr>
      <vt:lpstr>August 2022</vt:lpstr>
      <vt:lpstr>September 2022</vt:lpstr>
      <vt:lpstr>October 2022</vt:lpstr>
      <vt:lpstr>November 2022</vt:lpstr>
      <vt:lpstr>December 2022</vt:lpstr>
      <vt:lpstr>January 2023</vt:lpstr>
      <vt:lpstr>February 2023</vt:lpstr>
      <vt:lpstr>March 2023</vt:lpstr>
      <vt:lpstr>April 2023</vt:lpstr>
      <vt:lpstr>May 2023</vt:lpstr>
      <vt:lpstr>June 2023</vt:lpstr>
      <vt:lpstr>July 2023</vt:lpstr>
      <vt:lpstr>August 2023</vt:lpstr>
      <vt:lpstr>September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WARNER</cp:lastModifiedBy>
  <dcterms:modified xsi:type="dcterms:W3CDTF">2023-10-04T10:57:56Z</dcterms:modified>
</cp:coreProperties>
</file>