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T01" sheetId="1" r:id="rId1"/>
    <sheet name="T02" sheetId="4" r:id="rId2"/>
    <sheet name="T03" sheetId="5" r:id="rId3"/>
    <sheet name="T04" sheetId="6" r:id="rId4"/>
    <sheet name="T05" sheetId="7" r:id="rId5"/>
  </sheets>
  <calcPr calcId="124519"/>
  <fileRecoveryPr repairLoad="1"/>
</workbook>
</file>

<file path=xl/calcChain.xml><?xml version="1.0" encoding="utf-8"?>
<calcChain xmlns="http://schemas.openxmlformats.org/spreadsheetml/2006/main">
  <c r="L18" i="7"/>
  <c r="L16"/>
  <c r="L15"/>
  <c r="L19"/>
  <c r="L20"/>
  <c r="L21"/>
  <c r="L22"/>
  <c r="L23"/>
  <c r="L25"/>
  <c r="L26"/>
  <c r="L27"/>
  <c r="L28"/>
  <c r="L29"/>
  <c r="L30"/>
  <c r="L31"/>
  <c r="L32"/>
  <c r="L34"/>
  <c r="L14"/>
  <c r="I15"/>
  <c r="I16"/>
  <c r="I18"/>
  <c r="I19"/>
  <c r="I20"/>
  <c r="I21"/>
  <c r="I22"/>
  <c r="I23"/>
  <c r="I25"/>
  <c r="I26"/>
  <c r="I27"/>
  <c r="I28"/>
  <c r="I29"/>
  <c r="I30"/>
  <c r="I31"/>
  <c r="I32"/>
  <c r="I33"/>
  <c r="I34"/>
  <c r="I14"/>
  <c r="H14"/>
  <c r="R34"/>
  <c r="R28"/>
  <c r="R21" l="1"/>
  <c r="K18" l="1"/>
  <c r="J18"/>
  <c r="J34" s="1"/>
  <c r="K18" i="6"/>
  <c r="F36" i="7"/>
  <c r="E38"/>
  <c r="F38"/>
  <c r="G38"/>
  <c r="G39"/>
  <c r="J14"/>
  <c r="K15"/>
  <c r="J25"/>
  <c r="J30"/>
  <c r="J31"/>
  <c r="J32"/>
  <c r="J33"/>
  <c r="J29"/>
  <c r="J27"/>
  <c r="J26"/>
  <c r="J21"/>
  <c r="J22"/>
  <c r="J23"/>
  <c r="J20"/>
  <c r="J16"/>
  <c r="J15"/>
  <c r="D34" i="6"/>
  <c r="E32"/>
  <c r="E31"/>
  <c r="E30"/>
  <c r="E29"/>
  <c r="E28"/>
  <c r="D28"/>
  <c r="D19"/>
  <c r="E19" s="1"/>
  <c r="E18"/>
  <c r="E17"/>
  <c r="F13"/>
  <c r="F32" s="1"/>
  <c r="E13"/>
  <c r="E27" s="1"/>
  <c r="D28" i="5"/>
  <c r="D34" s="1"/>
  <c r="D19"/>
  <c r="E17"/>
  <c r="F13"/>
  <c r="F27" s="1"/>
  <c r="E13"/>
  <c r="E32" s="1"/>
  <c r="D28" i="4"/>
  <c r="D34" s="1"/>
  <c r="D19"/>
  <c r="E17"/>
  <c r="F13"/>
  <c r="F27" s="1"/>
  <c r="E13"/>
  <c r="E32" s="1"/>
  <c r="D28" i="1"/>
  <c r="D34" s="1"/>
  <c r="D19"/>
  <c r="E17"/>
  <c r="F13"/>
  <c r="F27" s="1"/>
  <c r="E13"/>
  <c r="E32" s="1"/>
  <c r="E25" i="7"/>
  <c r="E32"/>
  <c r="E31"/>
  <c r="E30"/>
  <c r="E29"/>
  <c r="E27"/>
  <c r="E26"/>
  <c r="E18"/>
  <c r="E19"/>
  <c r="E21"/>
  <c r="E22"/>
  <c r="E23"/>
  <c r="E20"/>
  <c r="E16"/>
  <c r="E15"/>
  <c r="E14"/>
  <c r="Q34"/>
  <c r="P34"/>
  <c r="O34" s="1"/>
  <c r="N34"/>
  <c r="F18" i="5" l="1"/>
  <c r="F29"/>
  <c r="F31"/>
  <c r="F19"/>
  <c r="F30"/>
  <c r="F32"/>
  <c r="F18" i="4"/>
  <c r="F29"/>
  <c r="F31"/>
  <c r="F19"/>
  <c r="F30"/>
  <c r="F32"/>
  <c r="F18" i="1"/>
  <c r="F29"/>
  <c r="F31"/>
  <c r="F19"/>
  <c r="F30"/>
  <c r="F32"/>
  <c r="F14" i="6"/>
  <c r="F15"/>
  <c r="F16"/>
  <c r="F19"/>
  <c r="F20"/>
  <c r="F21"/>
  <c r="F22"/>
  <c r="F23"/>
  <c r="F25"/>
  <c r="F26"/>
  <c r="F27"/>
  <c r="E14"/>
  <c r="E15"/>
  <c r="E16"/>
  <c r="F18"/>
  <c r="E20"/>
  <c r="E21"/>
  <c r="E22"/>
  <c r="E23"/>
  <c r="E25"/>
  <c r="E26"/>
  <c r="F29"/>
  <c r="F30"/>
  <c r="F31"/>
  <c r="E14" i="5"/>
  <c r="E15"/>
  <c r="E16"/>
  <c r="E19"/>
  <c r="E20"/>
  <c r="E21"/>
  <c r="E22"/>
  <c r="E23"/>
  <c r="E25"/>
  <c r="E26"/>
  <c r="E27"/>
  <c r="F14"/>
  <c r="F15"/>
  <c r="F16"/>
  <c r="E18"/>
  <c r="F20"/>
  <c r="F21"/>
  <c r="F22"/>
  <c r="F23"/>
  <c r="F25"/>
  <c r="F26"/>
  <c r="E29"/>
  <c r="E30"/>
  <c r="E31"/>
  <c r="E14" i="4"/>
  <c r="E15"/>
  <c r="E16"/>
  <c r="E19"/>
  <c r="E20"/>
  <c r="E21"/>
  <c r="E22"/>
  <c r="E23"/>
  <c r="E25"/>
  <c r="E26"/>
  <c r="E27"/>
  <c r="F14"/>
  <c r="F15"/>
  <c r="F16"/>
  <c r="E18"/>
  <c r="F20"/>
  <c r="F21"/>
  <c r="F22"/>
  <c r="F23"/>
  <c r="F25"/>
  <c r="F26"/>
  <c r="E29"/>
  <c r="E30"/>
  <c r="E31"/>
  <c r="E14" i="1"/>
  <c r="E15"/>
  <c r="E16"/>
  <c r="E19"/>
  <c r="E20"/>
  <c r="E21"/>
  <c r="E22"/>
  <c r="E23"/>
  <c r="E25"/>
  <c r="E26"/>
  <c r="E27"/>
  <c r="F14"/>
  <c r="F15"/>
  <c r="F16"/>
  <c r="E18"/>
  <c r="F20"/>
  <c r="F21"/>
  <c r="F22"/>
  <c r="F23"/>
  <c r="F25"/>
  <c r="F26"/>
  <c r="E29"/>
  <c r="E30"/>
  <c r="E31"/>
  <c r="Q28" i="7"/>
  <c r="P28"/>
  <c r="O28"/>
  <c r="N28"/>
  <c r="G28"/>
  <c r="G34" s="1"/>
  <c r="F28" i="5" l="1"/>
  <c r="F28" i="4"/>
  <c r="E28"/>
  <c r="F28" i="1"/>
  <c r="F28" i="6"/>
  <c r="E34"/>
  <c r="F34"/>
  <c r="E28" i="5"/>
  <c r="F34"/>
  <c r="E34"/>
  <c r="E34" i="4"/>
  <c r="F34"/>
  <c r="E28" i="1"/>
  <c r="E34" s="1"/>
  <c r="F34"/>
  <c r="E28" i="7"/>
  <c r="E34" s="1"/>
  <c r="D34" s="1"/>
  <c r="D28"/>
  <c r="Q21"/>
  <c r="P21"/>
  <c r="O21"/>
  <c r="N21"/>
  <c r="Q19"/>
  <c r="P19" s="1"/>
  <c r="O19"/>
  <c r="N19" s="1"/>
  <c r="G19"/>
  <c r="D19"/>
  <c r="E17"/>
  <c r="F13" l="1"/>
  <c r="E13"/>
  <c r="G39" i="6"/>
  <c r="G38"/>
  <c r="E38"/>
  <c r="F36"/>
  <c r="Q34"/>
  <c r="P34" s="1"/>
  <c r="O34" s="1"/>
  <c r="N34" s="1"/>
  <c r="F32" i="7" l="1"/>
  <c r="F31"/>
  <c r="H31" s="1"/>
  <c r="F30"/>
  <c r="F29"/>
  <c r="F28" s="1"/>
  <c r="F26"/>
  <c r="F25"/>
  <c r="H25" s="1"/>
  <c r="F18"/>
  <c r="H18" s="1"/>
  <c r="F27"/>
  <c r="F23"/>
  <c r="H23" s="1"/>
  <c r="F22"/>
  <c r="H22" s="1"/>
  <c r="F21"/>
  <c r="H21" s="1"/>
  <c r="F20"/>
  <c r="H20" s="1"/>
  <c r="F19"/>
  <c r="H19" s="1"/>
  <c r="F16"/>
  <c r="H16" s="1"/>
  <c r="F15"/>
  <c r="H15" s="1"/>
  <c r="F14"/>
  <c r="I34" i="6"/>
  <c r="H34"/>
  <c r="G34"/>
  <c r="G33"/>
  <c r="F34" i="7" l="1"/>
  <c r="H34" s="1"/>
  <c r="I32" i="6"/>
  <c r="H32"/>
  <c r="G32"/>
  <c r="I31"/>
  <c r="H31"/>
  <c r="G31"/>
  <c r="I30"/>
  <c r="H30"/>
  <c r="G30"/>
  <c r="H29"/>
  <c r="G29"/>
  <c r="Q28"/>
  <c r="P28"/>
  <c r="O28"/>
  <c r="N28"/>
  <c r="I28"/>
  <c r="H28" l="1"/>
  <c r="G28"/>
  <c r="G27" l="1"/>
  <c r="F38" s="1"/>
  <c r="H27" l="1"/>
  <c r="I27"/>
  <c r="G26"/>
  <c r="H26" s="1"/>
  <c r="I25"/>
  <c r="H25"/>
  <c r="G25"/>
  <c r="I23"/>
  <c r="H23"/>
  <c r="I22"/>
  <c r="H22"/>
  <c r="Q21"/>
  <c r="P21"/>
  <c r="O21"/>
  <c r="N21"/>
  <c r="I21"/>
  <c r="H21"/>
  <c r="G21"/>
  <c r="I20"/>
  <c r="H20"/>
  <c r="Q19"/>
  <c r="P19"/>
  <c r="O19"/>
  <c r="N19"/>
  <c r="G19"/>
  <c r="I18"/>
  <c r="H18"/>
  <c r="G18"/>
  <c r="I16"/>
  <c r="H16"/>
  <c r="I15"/>
  <c r="H15"/>
  <c r="I14"/>
  <c r="H14"/>
  <c r="G14"/>
  <c r="P34" i="5"/>
  <c r="O34" s="1"/>
  <c r="N34"/>
  <c r="H34"/>
  <c r="G34"/>
  <c r="I26" i="6" l="1"/>
  <c r="G33" i="5"/>
  <c r="J32"/>
  <c r="I32"/>
  <c r="H32"/>
  <c r="G32"/>
  <c r="I31"/>
  <c r="H31" s="1"/>
  <c r="G31"/>
  <c r="I30"/>
  <c r="H30"/>
  <c r="G30"/>
  <c r="I29"/>
  <c r="H29"/>
  <c r="G29"/>
  <c r="P28"/>
  <c r="O28"/>
  <c r="N28"/>
  <c r="I28"/>
  <c r="H28"/>
  <c r="G28"/>
  <c r="G27"/>
  <c r="I27" s="1"/>
  <c r="G26"/>
  <c r="H26" s="1"/>
  <c r="I25"/>
  <c r="H25"/>
  <c r="G25"/>
  <c r="I23"/>
  <c r="H23"/>
  <c r="I22"/>
  <c r="H22"/>
  <c r="P21"/>
  <c r="O21"/>
  <c r="N21"/>
  <c r="I21"/>
  <c r="H21"/>
  <c r="G21"/>
  <c r="I20"/>
  <c r="H20"/>
  <c r="P19"/>
  <c r="O19"/>
  <c r="N19" s="1"/>
  <c r="H19"/>
  <c r="G19"/>
  <c r="I18"/>
  <c r="H18"/>
  <c r="G18"/>
  <c r="I16"/>
  <c r="H16" s="1"/>
  <c r="I15"/>
  <c r="H15"/>
  <c r="I14"/>
  <c r="H14"/>
  <c r="G14"/>
  <c r="O34" i="4"/>
  <c r="N34" s="1"/>
  <c r="I34"/>
  <c r="H34"/>
  <c r="G34" s="1"/>
  <c r="J33"/>
  <c r="J33" i="5" s="1"/>
  <c r="G33" i="4"/>
  <c r="K32"/>
  <c r="J32"/>
  <c r="I32"/>
  <c r="H32"/>
  <c r="G32"/>
  <c r="J31"/>
  <c r="J31" i="5" s="1"/>
  <c r="I31" i="4"/>
  <c r="H31"/>
  <c r="G31"/>
  <c r="K30"/>
  <c r="J30"/>
  <c r="J30" i="5" s="1"/>
  <c r="I30" i="4"/>
  <c r="H30"/>
  <c r="G30"/>
  <c r="J29"/>
  <c r="I29" s="1"/>
  <c r="H29"/>
  <c r="G29"/>
  <c r="O28"/>
  <c r="N28"/>
  <c r="I28"/>
  <c r="H28"/>
  <c r="G28"/>
  <c r="H27" i="5" l="1"/>
  <c r="I26"/>
  <c r="J30" i="6"/>
  <c r="K30" i="5"/>
  <c r="J31" i="6"/>
  <c r="L31" i="5"/>
  <c r="K31" s="1"/>
  <c r="J33" i="6"/>
  <c r="J32"/>
  <c r="L31" i="4"/>
  <c r="L32" i="5"/>
  <c r="J28" i="4"/>
  <c r="K29"/>
  <c r="L30"/>
  <c r="K31"/>
  <c r="L32"/>
  <c r="L20" i="5"/>
  <c r="L30"/>
  <c r="K32"/>
  <c r="L29" i="4"/>
  <c r="G27"/>
  <c r="H27" s="1"/>
  <c r="H26"/>
  <c r="G26"/>
  <c r="I26" s="1"/>
  <c r="J25"/>
  <c r="K25" s="1"/>
  <c r="I25"/>
  <c r="H25"/>
  <c r="G25"/>
  <c r="K23"/>
  <c r="J23"/>
  <c r="J23" i="5" s="1"/>
  <c r="I23" i="4"/>
  <c r="H23"/>
  <c r="J22"/>
  <c r="J22" i="5" s="1"/>
  <c r="I22" i="4"/>
  <c r="H22"/>
  <c r="O21"/>
  <c r="N21"/>
  <c r="J21"/>
  <c r="J21" i="5" s="1"/>
  <c r="I21" i="4"/>
  <c r="H21"/>
  <c r="G21"/>
  <c r="K20"/>
  <c r="J20"/>
  <c r="J20" i="5" s="1"/>
  <c r="I20" i="4"/>
  <c r="H20"/>
  <c r="O19"/>
  <c r="N19"/>
  <c r="J19"/>
  <c r="K19" s="1"/>
  <c r="I19"/>
  <c r="H19"/>
  <c r="G19"/>
  <c r="K18"/>
  <c r="J18"/>
  <c r="J18" i="5" s="1"/>
  <c r="I18" i="4"/>
  <c r="H18"/>
  <c r="G18"/>
  <c r="J17"/>
  <c r="J16"/>
  <c r="J16" i="5" s="1"/>
  <c r="I16" i="4"/>
  <c r="H16"/>
  <c r="K15"/>
  <c r="J15"/>
  <c r="J15" i="5" s="1"/>
  <c r="I15" i="4"/>
  <c r="H15"/>
  <c r="J14"/>
  <c r="I14"/>
  <c r="H14"/>
  <c r="G14"/>
  <c r="N34" i="1"/>
  <c r="I27" i="4" l="1"/>
  <c r="J14" i="5"/>
  <c r="J34" i="4"/>
  <c r="K16" i="7"/>
  <c r="J16" i="6"/>
  <c r="L16" i="5"/>
  <c r="K16" s="1"/>
  <c r="J21" i="6"/>
  <c r="K21" i="5"/>
  <c r="L21"/>
  <c r="K22" i="7"/>
  <c r="J22" i="6"/>
  <c r="K22" i="5"/>
  <c r="K28" i="4"/>
  <c r="L28"/>
  <c r="K32" i="6"/>
  <c r="L32"/>
  <c r="K31" i="7"/>
  <c r="K30" i="6"/>
  <c r="L30"/>
  <c r="J15"/>
  <c r="L15" i="5"/>
  <c r="K15"/>
  <c r="J18" i="6"/>
  <c r="K18" i="5"/>
  <c r="J20" i="6"/>
  <c r="J19" i="5"/>
  <c r="K20"/>
  <c r="J23" i="6"/>
  <c r="K23" i="5"/>
  <c r="H32" i="7"/>
  <c r="K32"/>
  <c r="K31" i="6"/>
  <c r="L31"/>
  <c r="H30" i="7"/>
  <c r="K30"/>
  <c r="L14" i="4"/>
  <c r="L16"/>
  <c r="L19"/>
  <c r="L21"/>
  <c r="L22"/>
  <c r="L25"/>
  <c r="L22" i="5"/>
  <c r="K14" i="4"/>
  <c r="L15"/>
  <c r="K16"/>
  <c r="L18"/>
  <c r="L20"/>
  <c r="K21"/>
  <c r="K22"/>
  <c r="L23"/>
  <c r="L23" i="5"/>
  <c r="L18"/>
  <c r="L34" i="1"/>
  <c r="K34"/>
  <c r="J34"/>
  <c r="I34"/>
  <c r="L23" i="6" l="1"/>
  <c r="K23"/>
  <c r="K20"/>
  <c r="J19"/>
  <c r="L20"/>
  <c r="K15"/>
  <c r="L15"/>
  <c r="J14"/>
  <c r="K14" i="5"/>
  <c r="L14"/>
  <c r="K23" i="7"/>
  <c r="I19" i="5"/>
  <c r="K19"/>
  <c r="L19"/>
  <c r="K20" i="7"/>
  <c r="L18" i="6"/>
  <c r="K22"/>
  <c r="L22"/>
  <c r="K21"/>
  <c r="L21"/>
  <c r="K16"/>
  <c r="L16"/>
  <c r="K34" i="4"/>
  <c r="L34"/>
  <c r="H34" i="1"/>
  <c r="G34"/>
  <c r="J33"/>
  <c r="G33"/>
  <c r="L32"/>
  <c r="K32"/>
  <c r="J32"/>
  <c r="I32"/>
  <c r="H32"/>
  <c r="G32"/>
  <c r="L31"/>
  <c r="K31" s="1"/>
  <c r="J31"/>
  <c r="I31"/>
  <c r="H31"/>
  <c r="G31"/>
  <c r="L30"/>
  <c r="K30" s="1"/>
  <c r="J30"/>
  <c r="I30"/>
  <c r="H30"/>
  <c r="G30"/>
  <c r="L29"/>
  <c r="K29" s="1"/>
  <c r="J29"/>
  <c r="I29"/>
  <c r="H29"/>
  <c r="G29"/>
  <c r="N28"/>
  <c r="L28"/>
  <c r="K28"/>
  <c r="J28"/>
  <c r="I28"/>
  <c r="H28"/>
  <c r="G28"/>
  <c r="G27"/>
  <c r="J27" i="4" s="1"/>
  <c r="G26" i="1"/>
  <c r="J26" i="4" s="1"/>
  <c r="L25" i="1"/>
  <c r="K25" s="1"/>
  <c r="J25"/>
  <c r="I25"/>
  <c r="H25"/>
  <c r="G25"/>
  <c r="L23"/>
  <c r="K23"/>
  <c r="J23"/>
  <c r="I23"/>
  <c r="H23"/>
  <c r="L22"/>
  <c r="K22"/>
  <c r="J22"/>
  <c r="I22"/>
  <c r="H22"/>
  <c r="N21"/>
  <c r="L21" s="1"/>
  <c r="K21"/>
  <c r="J21"/>
  <c r="I21"/>
  <c r="H21"/>
  <c r="L20"/>
  <c r="K20"/>
  <c r="J20"/>
  <c r="I20"/>
  <c r="H20"/>
  <c r="N19"/>
  <c r="J27" i="5" l="1"/>
  <c r="L27" i="4"/>
  <c r="K27"/>
  <c r="I27" i="1"/>
  <c r="J26" i="5"/>
  <c r="L26" i="4"/>
  <c r="K26"/>
  <c r="I26" i="1"/>
  <c r="H26"/>
  <c r="J26"/>
  <c r="H27"/>
  <c r="J27"/>
  <c r="K27" s="1"/>
  <c r="K14" i="7"/>
  <c r="I19" i="6"/>
  <c r="H19" s="1"/>
  <c r="K19"/>
  <c r="L19"/>
  <c r="K14"/>
  <c r="L14"/>
  <c r="L19" i="1"/>
  <c r="K19"/>
  <c r="J19"/>
  <c r="I19"/>
  <c r="L26" l="1"/>
  <c r="K26"/>
  <c r="J26" i="6"/>
  <c r="K26" i="5"/>
  <c r="L26"/>
  <c r="L27"/>
  <c r="J27" i="6"/>
  <c r="K27" i="5"/>
  <c r="L27" i="1"/>
  <c r="H19"/>
  <c r="G19"/>
  <c r="L18"/>
  <c r="K18"/>
  <c r="J18"/>
  <c r="I18"/>
  <c r="H18"/>
  <c r="G18"/>
  <c r="L16"/>
  <c r="K16" s="1"/>
  <c r="J16"/>
  <c r="I16"/>
  <c r="H16"/>
  <c r="L15"/>
  <c r="K15"/>
  <c r="J15"/>
  <c r="I15"/>
  <c r="H15"/>
  <c r="L14"/>
  <c r="K14"/>
  <c r="J14"/>
  <c r="I14"/>
  <c r="H14"/>
  <c r="G14"/>
  <c r="J29" i="5"/>
  <c r="J28"/>
  <c r="K28"/>
  <c r="L28"/>
  <c r="J25"/>
  <c r="J34"/>
  <c r="L25"/>
  <c r="K25"/>
  <c r="J25" i="6"/>
  <c r="L25"/>
  <c r="K25"/>
  <c r="J29"/>
  <c r="J28"/>
  <c r="L28"/>
  <c r="K28"/>
  <c r="L29"/>
  <c r="K29"/>
  <c r="I29"/>
  <c r="J34"/>
  <c r="L34"/>
  <c r="K34"/>
  <c r="J19" i="7"/>
  <c r="K21"/>
  <c r="K25"/>
  <c r="J28"/>
  <c r="H28"/>
  <c r="H29"/>
  <c r="K29" i="5"/>
  <c r="L29"/>
  <c r="L34"/>
  <c r="K34"/>
  <c r="K34" i="7"/>
  <c r="I34" i="5"/>
  <c r="G27" i="7"/>
  <c r="K27"/>
  <c r="G26"/>
  <c r="H26"/>
  <c r="H27"/>
  <c r="K28" l="1"/>
  <c r="K29"/>
  <c r="K19"/>
  <c r="K26"/>
  <c r="L27" i="6"/>
  <c r="K27"/>
  <c r="K26"/>
  <c r="L26"/>
</calcChain>
</file>

<file path=xl/comments1.xml><?xml version="1.0" encoding="utf-8"?>
<comments xmlns="http://schemas.openxmlformats.org/spreadsheetml/2006/main">
  <authors>
    <author>Author</author>
  </authors>
  <commentList>
    <comment ref="F13" author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SỐ NGÀY CỦA THÁNG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3" author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SỐ NGÀY CỦA THÁNG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3" author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SỐ NGÀY CỦA THÁNG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3" author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SỐ NGÀY CỦA THÁNG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3" author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SỐ NGÀY CỦA THÁNG</t>
        </r>
      </text>
    </comment>
  </commentList>
</comments>
</file>

<file path=xl/sharedStrings.xml><?xml version="1.0" encoding="utf-8"?>
<sst xmlns="http://schemas.openxmlformats.org/spreadsheetml/2006/main" count="410" uniqueCount="75">
  <si>
    <t xml:space="preserve">CÔNG TY CỔ PHẦN </t>
  </si>
  <si>
    <t>CỘNG HÒA XÃ HỘI CHỦ NGHĨA VIỆT NAM</t>
  </si>
  <si>
    <t>BẾN BÃI VẬN TẢI SÀI GÒN</t>
  </si>
  <si>
    <t>Độc lập - Tự do - Hạnh phúc</t>
  </si>
  <si>
    <t>(STP.JSC)</t>
  </si>
  <si>
    <t>BẾN XE AN SƯƠNG</t>
  </si>
  <si>
    <t xml:space="preserve"> </t>
  </si>
  <si>
    <r>
      <t>Kính gửi</t>
    </r>
    <r>
      <rPr>
        <b/>
        <i/>
        <sz val="14"/>
        <rFont val="Times New Roman"/>
        <family val="1"/>
      </rPr>
      <t>: PHÒNG KẾ HOẠCH ĐẦU TƯ</t>
    </r>
  </si>
  <si>
    <t>STT</t>
  </si>
  <si>
    <t>CHÆ TIEÂU</t>
  </si>
  <si>
    <t>ÑVT</t>
  </si>
  <si>
    <t>KEÁ HOAÏCH</t>
  </si>
  <si>
    <t>NAÊM</t>
  </si>
  <si>
    <t>SL&amp;DT</t>
  </si>
  <si>
    <t>So saùnh %</t>
  </si>
  <si>
    <t>CK</t>
  </si>
  <si>
    <t>KH</t>
  </si>
  <si>
    <t>A</t>
  </si>
  <si>
    <t>XE KHAÙCH LIEÂN TÆNH</t>
  </si>
  <si>
    <t>I</t>
  </si>
  <si>
    <t>DOANH THU</t>
  </si>
  <si>
    <t>VNÑ</t>
  </si>
  <si>
    <t>II</t>
  </si>
  <si>
    <t>Löôït</t>
  </si>
  <si>
    <t>B</t>
  </si>
  <si>
    <t>SAÛN LÖÔÏNG</t>
  </si>
  <si>
    <t>Xe taûi vaõng lai</t>
  </si>
  <si>
    <t>Xe ñaäu thaùng+XB ñaäu thaùng</t>
  </si>
  <si>
    <t>Xe khaùch ñaäu ñeâm</t>
  </si>
  <si>
    <t>Xe sang haøng (ñaõ quy ñoåi)</t>
  </si>
  <si>
    <t>C</t>
  </si>
  <si>
    <t>XE BUYÙT XUAÁT BEÁN</t>
  </si>
  <si>
    <t>Löôïng xe xuaát beán</t>
  </si>
  <si>
    <t>Haønh khaùch qua beán</t>
  </si>
  <si>
    <t>D</t>
  </si>
  <si>
    <t>DÒCH VUÏ HOÃ TRÔÏ</t>
  </si>
  <si>
    <t>Doanh thu khoaùn kinh doanh</t>
  </si>
  <si>
    <t>Thu ñieän caùc ñieåm DV-AS</t>
  </si>
  <si>
    <t xml:space="preserve">Dòch vuï ñieän thoaïi </t>
  </si>
  <si>
    <t>Dòch vuï haøng rong</t>
  </si>
  <si>
    <t>Doanh thu khác (Xe bỏ tài HTX TN)</t>
  </si>
  <si>
    <t>TOÅNG DOANH THU</t>
  </si>
  <si>
    <r>
      <t>Nơi nhận</t>
    </r>
    <r>
      <rPr>
        <sz val="12"/>
        <rFont val="Times New Roman"/>
        <family val="1"/>
      </rPr>
      <t>:</t>
    </r>
  </si>
  <si>
    <t>GIÁM ĐỐC</t>
  </si>
  <si>
    <t xml:space="preserve"> - Như trên</t>
  </si>
  <si>
    <t xml:space="preserve"> - Lưu VT (Long)</t>
  </si>
  <si>
    <t>Doanh thu</t>
  </si>
  <si>
    <t>Löôït xe xuaát beán</t>
  </si>
  <si>
    <t>QUÝ</t>
  </si>
  <si>
    <t>XE LƯU ĐẬU</t>
  </si>
  <si>
    <t>BÁO CÁO
TÌNH HÌNH SẢN XUẤT KINH DOANH THÁNG 01 NĂM 2013</t>
  </si>
  <si>
    <t>THÖÏC HIEÄN THAÙNG 01</t>
  </si>
  <si>
    <t>LUÕY KEÁ NAÊM 2013</t>
  </si>
  <si>
    <t>T1</t>
  </si>
  <si>
    <t>Ngày  02  tháng  02  năm  2013</t>
  </si>
  <si>
    <t>lượt xe buýt 1525/ngày</t>
  </si>
  <si>
    <t>1 tháng = 1525*31</t>
  </si>
  <si>
    <t>lượt hk qua bến</t>
  </si>
  <si>
    <t>1 tháng = 1525*30.79</t>
  </si>
  <si>
    <t>BÁO CÁO
TÌNH HÌNH SẢN XUẤT KINH DOANH THÁNG 02 NĂM 2013</t>
  </si>
  <si>
    <t>THÖÏC HIEÄN THAÙNG 02</t>
  </si>
  <si>
    <t>Ngày  02  tháng  03  năm  2013</t>
  </si>
  <si>
    <t>T2</t>
  </si>
  <si>
    <t>T3</t>
  </si>
  <si>
    <t>Ngày  01  tháng  04  năm  2013</t>
  </si>
  <si>
    <t>BÁO CÁO
TÌNH HÌNH SẢN XUẤT KINH DOANH THÁNG 03 NĂM 2013</t>
  </si>
  <si>
    <t>THÖÏC HIEÄN THAÙNG 03</t>
  </si>
  <si>
    <t>lượt xe buýt 1633/ngày</t>
  </si>
  <si>
    <t>T4</t>
  </si>
  <si>
    <t>Ngày  02  tháng  05  năm  2013</t>
  </si>
  <si>
    <t>BÁO CÁO
TÌNH HÌNH SẢN XUẤT KINH DOANH THÁNG 04 NĂM 2013</t>
  </si>
  <si>
    <t>THÖÏC HIEÄN THAÙNG 04</t>
  </si>
  <si>
    <t xml:space="preserve">THÁNG </t>
  </si>
  <si>
    <t>T5</t>
  </si>
  <si>
    <t>BÁO CÁO
TÌNH HÌNH SẢN XUẤT KINH DOANH THÁNG 05 NĂM 2013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</si>
</sst>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3"/>
      <name val="Arial"/>
      <family val="2"/>
    </font>
    <font>
      <b/>
      <sz val="13"/>
      <name val="Times New Roman"/>
      <family val="1"/>
    </font>
    <font>
      <b/>
      <u/>
      <sz val="13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i/>
      <sz val="14"/>
      <name val="Times New Roman"/>
      <family val="1"/>
    </font>
    <font>
      <b/>
      <sz val="13"/>
      <name val="Arial"/>
      <family val="2"/>
    </font>
    <font>
      <sz val="10"/>
      <name val="VNI-Times"/>
    </font>
    <font>
      <b/>
      <sz val="10"/>
      <name val="VNI-Times"/>
    </font>
    <font>
      <b/>
      <sz val="9"/>
      <name val="Times New Roman"/>
      <family val="1"/>
    </font>
    <font>
      <b/>
      <sz val="9"/>
      <name val="VNI-Times"/>
    </font>
    <font>
      <sz val="10"/>
      <color indexed="10"/>
      <name val="VNI-Times"/>
    </font>
    <font>
      <b/>
      <sz val="10"/>
      <color indexed="10"/>
      <name val="VNI-Times"/>
    </font>
    <font>
      <sz val="9"/>
      <color indexed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sz val="10"/>
      <color theme="1"/>
      <name val="VNI-Times"/>
    </font>
    <font>
      <b/>
      <sz val="10"/>
      <name val="Times New Roman"/>
      <family val="1"/>
    </font>
    <font>
      <sz val="12"/>
      <name val="VNI-Times"/>
    </font>
    <font>
      <sz val="10"/>
      <color indexed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VNI-Times"/>
    </font>
    <font>
      <sz val="12"/>
      <color theme="0"/>
      <name val="Times New Roman"/>
      <family val="1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3" fontId="11" fillId="0" borderId="0" xfId="0" applyNumberFormat="1" applyFont="1"/>
    <xf numFmtId="3" fontId="11" fillId="0" borderId="0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2" fillId="0" borderId="1" xfId="0" applyFont="1" applyBorder="1"/>
    <xf numFmtId="0" fontId="11" fillId="0" borderId="1" xfId="0" applyFont="1" applyBorder="1"/>
    <xf numFmtId="164" fontId="11" fillId="0" borderId="1" xfId="0" applyNumberFormat="1" applyFont="1" applyBorder="1"/>
    <xf numFmtId="0" fontId="11" fillId="0" borderId="0" xfId="0" applyFont="1" applyBorder="1"/>
    <xf numFmtId="3" fontId="12" fillId="0" borderId="0" xfId="0" applyNumberFormat="1" applyFont="1"/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3" fontId="13" fillId="0" borderId="0" xfId="0" applyNumberFormat="1" applyFont="1"/>
    <xf numFmtId="3" fontId="14" fillId="0" borderId="0" xfId="0" applyNumberFormat="1" applyFont="1"/>
    <xf numFmtId="3" fontId="12" fillId="0" borderId="0" xfId="0" applyNumberFormat="1" applyFont="1" applyBorder="1"/>
    <xf numFmtId="3" fontId="12" fillId="0" borderId="0" xfId="1" applyNumberFormat="1" applyFont="1" applyBorder="1" applyAlignment="1">
      <alignment horizontal="right"/>
    </xf>
    <xf numFmtId="3" fontId="15" fillId="0" borderId="0" xfId="0" applyNumberFormat="1" applyFont="1"/>
    <xf numFmtId="0" fontId="15" fillId="0" borderId="0" xfId="0" applyFont="1"/>
    <xf numFmtId="0" fontId="16" fillId="0" borderId="0" xfId="0" applyFont="1"/>
    <xf numFmtId="0" fontId="19" fillId="0" borderId="1" xfId="0" applyFont="1" applyBorder="1"/>
    <xf numFmtId="0" fontId="6" fillId="0" borderId="0" xfId="0" applyFont="1"/>
    <xf numFmtId="3" fontId="6" fillId="0" borderId="0" xfId="0" applyNumberFormat="1" applyFont="1"/>
    <xf numFmtId="0" fontId="2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Border="1"/>
    <xf numFmtId="0" fontId="6" fillId="0" borderId="0" xfId="0" applyFont="1" applyAlignment="1">
      <alignment horizontal="center"/>
    </xf>
    <xf numFmtId="0" fontId="2" fillId="0" borderId="0" xfId="0" applyFont="1"/>
    <xf numFmtId="0" fontId="19" fillId="0" borderId="0" xfId="0" applyFont="1"/>
    <xf numFmtId="3" fontId="19" fillId="0" borderId="0" xfId="0" applyNumberFormat="1" applyFont="1"/>
    <xf numFmtId="0" fontId="19" fillId="0" borderId="0" xfId="0" applyFont="1" applyAlignment="1">
      <alignment horizontal="center"/>
    </xf>
    <xf numFmtId="0" fontId="22" fillId="0" borderId="1" xfId="0" applyFont="1" applyBorder="1"/>
    <xf numFmtId="166" fontId="13" fillId="0" borderId="0" xfId="1" applyNumberFormat="1" applyFont="1" applyBorder="1" applyAlignment="1">
      <alignment horizontal="center"/>
    </xf>
    <xf numFmtId="166" fontId="13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0" fontId="17" fillId="0" borderId="0" xfId="0" applyFont="1" applyBorder="1"/>
    <xf numFmtId="0" fontId="15" fillId="0" borderId="0" xfId="0" applyFont="1" applyBorder="1"/>
    <xf numFmtId="3" fontId="13" fillId="0" borderId="0" xfId="0" applyNumberFormat="1" applyFont="1" applyBorder="1"/>
    <xf numFmtId="3" fontId="16" fillId="0" borderId="0" xfId="1" applyNumberFormat="1" applyFont="1" applyBorder="1" applyAlignment="1">
      <alignment horizontal="right"/>
    </xf>
    <xf numFmtId="3" fontId="18" fillId="0" borderId="0" xfId="1" applyNumberFormat="1" applyFont="1" applyBorder="1" applyAlignment="1">
      <alignment horizontal="center"/>
    </xf>
    <xf numFmtId="3" fontId="18" fillId="0" borderId="0" xfId="1" applyNumberFormat="1" applyFont="1" applyBorder="1" applyAlignment="1">
      <alignment horizontal="right"/>
    </xf>
    <xf numFmtId="3" fontId="11" fillId="0" borderId="0" xfId="1" applyNumberFormat="1" applyFont="1" applyBorder="1" applyAlignment="1">
      <alignment horizontal="right"/>
    </xf>
    <xf numFmtId="3" fontId="18" fillId="0" borderId="0" xfId="1" quotePrefix="1" applyNumberFormat="1" applyFont="1" applyBorder="1" applyAlignment="1">
      <alignment horizontal="center"/>
    </xf>
    <xf numFmtId="3" fontId="18" fillId="0" borderId="0" xfId="1" quotePrefix="1" applyNumberFormat="1" applyFont="1" applyBorder="1" applyAlignment="1">
      <alignment horizontal="right"/>
    </xf>
    <xf numFmtId="3" fontId="11" fillId="0" borderId="0" xfId="1" quotePrefix="1" applyNumberFormat="1" applyFont="1" applyBorder="1" applyAlignment="1">
      <alignment horizontal="right"/>
    </xf>
    <xf numFmtId="3" fontId="18" fillId="0" borderId="0" xfId="0" applyNumberFormat="1" applyFont="1" applyBorder="1" applyAlignment="1">
      <alignment horizontal="right"/>
    </xf>
    <xf numFmtId="3" fontId="18" fillId="0" borderId="0" xfId="1" applyNumberFormat="1" applyFont="1" applyBorder="1"/>
    <xf numFmtId="3" fontId="17" fillId="0" borderId="0" xfId="0" applyNumberFormat="1" applyFont="1" applyBorder="1"/>
    <xf numFmtId="3" fontId="15" fillId="0" borderId="0" xfId="0" applyNumberFormat="1" applyFont="1" applyBorder="1"/>
    <xf numFmtId="3" fontId="11" fillId="0" borderId="0" xfId="0" applyNumberFormat="1" applyFont="1" applyBorder="1"/>
    <xf numFmtId="0" fontId="21" fillId="0" borderId="1" xfId="0" applyFont="1" applyBorder="1"/>
    <xf numFmtId="3" fontId="22" fillId="0" borderId="1" xfId="0" applyNumberFormat="1" applyFont="1" applyBorder="1"/>
    <xf numFmtId="165" fontId="22" fillId="0" borderId="1" xfId="2" applyNumberFormat="1" applyFont="1" applyBorder="1"/>
    <xf numFmtId="3" fontId="19" fillId="0" borderId="1" xfId="0" applyNumberFormat="1" applyFont="1" applyBorder="1"/>
    <xf numFmtId="164" fontId="19" fillId="0" borderId="1" xfId="0" applyNumberFormat="1" applyFont="1" applyBorder="1"/>
    <xf numFmtId="37" fontId="15" fillId="0" borderId="0" xfId="0" applyNumberFormat="1" applyFont="1"/>
    <xf numFmtId="3" fontId="19" fillId="0" borderId="0" xfId="0" applyNumberFormat="1" applyFont="1" applyBorder="1" applyAlignment="1">
      <alignment horizontal="center"/>
    </xf>
    <xf numFmtId="3" fontId="19" fillId="0" borderId="0" xfId="1" applyNumberFormat="1" applyFont="1" applyBorder="1" applyAlignment="1">
      <alignment horizontal="center"/>
    </xf>
    <xf numFmtId="3" fontId="19" fillId="0" borderId="0" xfId="1" quotePrefix="1" applyNumberFormat="1" applyFont="1" applyBorder="1" applyAlignment="1">
      <alignment horizontal="center"/>
    </xf>
    <xf numFmtId="3" fontId="22" fillId="0" borderId="0" xfId="0" applyNumberFormat="1" applyFont="1" applyBorder="1" applyAlignment="1">
      <alignment horizontal="center"/>
    </xf>
    <xf numFmtId="3" fontId="22" fillId="0" borderId="0" xfId="0" applyNumberFormat="1" applyFont="1" applyBorder="1" applyAlignment="1">
      <alignment horizontal="right"/>
    </xf>
    <xf numFmtId="3" fontId="19" fillId="0" borderId="0" xfId="1" applyNumberFormat="1" applyFont="1" applyBorder="1" applyAlignment="1">
      <alignment horizontal="center" vertical="center"/>
    </xf>
    <xf numFmtId="3" fontId="22" fillId="0" borderId="0" xfId="1" applyNumberFormat="1" applyFont="1" applyBorder="1" applyAlignment="1">
      <alignment horizontal="center"/>
    </xf>
    <xf numFmtId="166" fontId="23" fillId="0" borderId="0" xfId="1" applyNumberFormat="1" applyFont="1" applyBorder="1" applyAlignment="1"/>
    <xf numFmtId="0" fontId="12" fillId="0" borderId="0" xfId="0" applyFont="1" applyAlignment="1">
      <alignment horizontal="center" vertical="center"/>
    </xf>
    <xf numFmtId="3" fontId="19" fillId="0" borderId="0" xfId="0" applyNumberFormat="1" applyFont="1" applyBorder="1"/>
    <xf numFmtId="165" fontId="19" fillId="0" borderId="1" xfId="2" applyNumberFormat="1" applyFont="1" applyBorder="1"/>
    <xf numFmtId="0" fontId="12" fillId="0" borderId="1" xfId="0" applyFont="1" applyBorder="1" applyAlignment="1">
      <alignment horizontal="center"/>
    </xf>
    <xf numFmtId="3" fontId="19" fillId="0" borderId="0" xfId="0" applyNumberFormat="1" applyFont="1" applyBorder="1" applyAlignment="1">
      <alignment horizontal="center" vertical="center"/>
    </xf>
    <xf numFmtId="3" fontId="22" fillId="0" borderId="0" xfId="1" applyNumberFormat="1" applyFont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25" fillId="0" borderId="0" xfId="0" applyNumberFormat="1" applyFont="1" applyBorder="1" applyAlignment="1">
      <alignment horizontal="center" vertical="center"/>
    </xf>
    <xf numFmtId="3" fontId="24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2" fillId="0" borderId="0" xfId="0" applyNumberFormat="1" applyFont="1" applyBorder="1" applyAlignment="1">
      <alignment horizontal="right"/>
    </xf>
    <xf numFmtId="3" fontId="26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/>
    </xf>
    <xf numFmtId="3" fontId="11" fillId="0" borderId="0" xfId="1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/>
    </xf>
    <xf numFmtId="3" fontId="11" fillId="0" borderId="0" xfId="1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 vertical="center"/>
    </xf>
    <xf numFmtId="3" fontId="12" fillId="0" borderId="0" xfId="1" applyNumberFormat="1" applyFont="1" applyBorder="1" applyAlignment="1">
      <alignment horizontal="center"/>
    </xf>
    <xf numFmtId="3" fontId="12" fillId="0" borderId="0" xfId="1" applyNumberFormat="1" applyFont="1" applyBorder="1" applyAlignment="1">
      <alignment horizontal="center" vertical="center"/>
    </xf>
    <xf numFmtId="3" fontId="11" fillId="0" borderId="0" xfId="1" quotePrefix="1" applyNumberFormat="1" applyFont="1" applyBorder="1" applyAlignment="1">
      <alignment horizontal="center"/>
    </xf>
    <xf numFmtId="3" fontId="11" fillId="0" borderId="0" xfId="1" quotePrefix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3" fontId="15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3" fontId="27" fillId="0" borderId="4" xfId="0" applyNumberFormat="1" applyFont="1" applyBorder="1" applyAlignment="1" applyProtection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 applyProtection="1">
      <alignment horizontal="center" vertical="center"/>
      <protection hidden="1"/>
    </xf>
    <xf numFmtId="3" fontId="21" fillId="0" borderId="0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38100</xdr:rowOff>
    </xdr:from>
    <xdr:to>
      <xdr:col>1</xdr:col>
      <xdr:colOff>1571625</xdr:colOff>
      <xdr:row>4</xdr:row>
      <xdr:rowOff>39688</xdr:rowOff>
    </xdr:to>
    <xdr:cxnSp macro="">
      <xdr:nvCxnSpPr>
        <xdr:cNvPr id="2" name="Straight Connector 1"/>
        <xdr:cNvCxnSpPr/>
      </xdr:nvCxnSpPr>
      <xdr:spPr>
        <a:xfrm>
          <a:off x="771525" y="876300"/>
          <a:ext cx="1076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38100</xdr:rowOff>
    </xdr:from>
    <xdr:to>
      <xdr:col>1</xdr:col>
      <xdr:colOff>1571625</xdr:colOff>
      <xdr:row>4</xdr:row>
      <xdr:rowOff>39688</xdr:rowOff>
    </xdr:to>
    <xdr:cxnSp macro="">
      <xdr:nvCxnSpPr>
        <xdr:cNvPr id="2" name="Straight Connector 1"/>
        <xdr:cNvCxnSpPr/>
      </xdr:nvCxnSpPr>
      <xdr:spPr>
        <a:xfrm>
          <a:off x="771525" y="876300"/>
          <a:ext cx="1076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38100</xdr:rowOff>
    </xdr:from>
    <xdr:to>
      <xdr:col>1</xdr:col>
      <xdr:colOff>1571625</xdr:colOff>
      <xdr:row>4</xdr:row>
      <xdr:rowOff>39688</xdr:rowOff>
    </xdr:to>
    <xdr:cxnSp macro="">
      <xdr:nvCxnSpPr>
        <xdr:cNvPr id="2" name="Straight Connector 1"/>
        <xdr:cNvCxnSpPr/>
      </xdr:nvCxnSpPr>
      <xdr:spPr>
        <a:xfrm>
          <a:off x="771525" y="876300"/>
          <a:ext cx="1076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38100</xdr:rowOff>
    </xdr:from>
    <xdr:to>
      <xdr:col>1</xdr:col>
      <xdr:colOff>1571625</xdr:colOff>
      <xdr:row>4</xdr:row>
      <xdr:rowOff>39688</xdr:rowOff>
    </xdr:to>
    <xdr:cxnSp macro="">
      <xdr:nvCxnSpPr>
        <xdr:cNvPr id="2" name="Straight Connector 1"/>
        <xdr:cNvCxnSpPr/>
      </xdr:nvCxnSpPr>
      <xdr:spPr>
        <a:xfrm>
          <a:off x="771525" y="876300"/>
          <a:ext cx="1076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38100</xdr:rowOff>
    </xdr:from>
    <xdr:to>
      <xdr:col>1</xdr:col>
      <xdr:colOff>1571625</xdr:colOff>
      <xdr:row>4</xdr:row>
      <xdr:rowOff>39688</xdr:rowOff>
    </xdr:to>
    <xdr:cxnSp macro="">
      <xdr:nvCxnSpPr>
        <xdr:cNvPr id="2" name="Straight Connector 1"/>
        <xdr:cNvCxnSpPr/>
      </xdr:nvCxnSpPr>
      <xdr:spPr>
        <a:xfrm>
          <a:off x="771525" y="876300"/>
          <a:ext cx="1076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1"/>
  <sheetViews>
    <sheetView topLeftCell="A7" workbookViewId="0">
      <selection activeCell="E18" sqref="E18"/>
    </sheetView>
  </sheetViews>
  <sheetFormatPr defaultRowHeight="14.25"/>
  <cols>
    <col min="1" max="1" width="4.140625" style="6" customWidth="1"/>
    <col min="2" max="2" width="26.140625" style="6" customWidth="1"/>
    <col min="3" max="3" width="6.28515625" style="6" customWidth="1"/>
    <col min="4" max="4" width="13.42578125" style="6" bestFit="1" customWidth="1"/>
    <col min="5" max="6" width="12.28515625" style="6" bestFit="1" customWidth="1"/>
    <col min="7" max="7" width="15.7109375" style="6" customWidth="1"/>
    <col min="8" max="8" width="7.42578125" style="6" customWidth="1"/>
    <col min="9" max="9" width="7.5703125" style="6" customWidth="1"/>
    <col min="10" max="10" width="12.28515625" style="6" customWidth="1"/>
    <col min="11" max="11" width="6.85546875" style="6" customWidth="1"/>
    <col min="12" max="12" width="7.5703125" style="6" bestFit="1" customWidth="1"/>
    <col min="13" max="13" width="11" style="6" bestFit="1" customWidth="1"/>
    <col min="14" max="14" width="10.85546875" style="6" bestFit="1" customWidth="1"/>
    <col min="15" max="15" width="13.5703125" style="6" bestFit="1" customWidth="1"/>
    <col min="16" max="18" width="10.85546875" style="6" bestFit="1" customWidth="1"/>
    <col min="19" max="20" width="11.140625" style="6" bestFit="1" customWidth="1"/>
    <col min="21" max="23" width="10.85546875" style="6" bestFit="1" customWidth="1"/>
    <col min="24" max="24" width="12.28515625" style="6" bestFit="1" customWidth="1"/>
    <col min="25" max="16384" width="9.140625" style="6"/>
  </cols>
  <sheetData>
    <row r="1" spans="1:24" s="1" customFormat="1" ht="16.5">
      <c r="A1" s="114" t="s">
        <v>0</v>
      </c>
      <c r="B1" s="114"/>
      <c r="C1" s="114"/>
      <c r="F1" s="2"/>
      <c r="G1" s="115" t="s">
        <v>1</v>
      </c>
      <c r="H1" s="115"/>
      <c r="I1" s="115"/>
      <c r="J1" s="115"/>
      <c r="K1" s="115"/>
      <c r="L1" s="115"/>
    </row>
    <row r="2" spans="1:24" s="1" customFormat="1" ht="16.5">
      <c r="A2" s="116" t="s">
        <v>2</v>
      </c>
      <c r="B2" s="116"/>
      <c r="C2" s="116"/>
      <c r="F2" s="3"/>
      <c r="G2" s="117" t="s">
        <v>3</v>
      </c>
      <c r="H2" s="117"/>
      <c r="I2" s="117"/>
      <c r="J2" s="117"/>
      <c r="K2" s="117"/>
      <c r="L2" s="117"/>
    </row>
    <row r="3" spans="1:24" s="1" customFormat="1" ht="16.5">
      <c r="A3" s="116" t="s">
        <v>4</v>
      </c>
      <c r="B3" s="116"/>
      <c r="C3" s="116"/>
      <c r="D3" s="4"/>
      <c r="E3" s="4"/>
      <c r="F3" s="4"/>
      <c r="G3" s="4"/>
      <c r="H3" s="4"/>
      <c r="I3" s="4"/>
      <c r="J3" s="4"/>
      <c r="K3" s="4"/>
      <c r="L3" s="4"/>
    </row>
    <row r="4" spans="1:24" s="1" customFormat="1" ht="16.5">
      <c r="A4" s="113" t="s">
        <v>5</v>
      </c>
      <c r="B4" s="113"/>
      <c r="C4" s="113"/>
      <c r="D4" s="4"/>
      <c r="E4" s="4"/>
      <c r="F4" s="4"/>
      <c r="G4" s="4"/>
      <c r="H4" s="4"/>
      <c r="I4" s="4"/>
      <c r="J4" s="4"/>
      <c r="K4" s="4"/>
      <c r="L4" s="4"/>
    </row>
    <row r="5" spans="1:24" s="1" customFormat="1" ht="51" customHeight="1">
      <c r="A5" s="111" t="s">
        <v>50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" t="s">
        <v>6</v>
      </c>
    </row>
    <row r="6" spans="1:24" s="1" customFormat="1" ht="18.75" customHeight="1">
      <c r="A6" s="111" t="s">
        <v>5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24" s="1" customFormat="1" ht="9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24" s="5" customFormat="1" ht="19.5">
      <c r="A8" s="112" t="s">
        <v>7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10" spans="1:24" ht="15.75">
      <c r="A10" s="109" t="s">
        <v>8</v>
      </c>
      <c r="B10" s="109" t="s">
        <v>9</v>
      </c>
      <c r="C10" s="109" t="s">
        <v>10</v>
      </c>
      <c r="D10" s="110" t="s">
        <v>11</v>
      </c>
      <c r="E10" s="110"/>
      <c r="F10" s="110"/>
      <c r="G10" s="110" t="s">
        <v>51</v>
      </c>
      <c r="H10" s="110"/>
      <c r="I10" s="110"/>
      <c r="J10" s="110" t="s">
        <v>52</v>
      </c>
      <c r="K10" s="110"/>
      <c r="L10" s="110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>
      <c r="A11" s="109"/>
      <c r="B11" s="109"/>
      <c r="C11" s="109"/>
      <c r="D11" s="103" t="s">
        <v>12</v>
      </c>
      <c r="E11" s="100" t="s">
        <v>48</v>
      </c>
      <c r="F11" s="100" t="s">
        <v>72</v>
      </c>
      <c r="G11" s="109" t="s">
        <v>13</v>
      </c>
      <c r="H11" s="110" t="s">
        <v>14</v>
      </c>
      <c r="I11" s="110"/>
      <c r="J11" s="109" t="s">
        <v>13</v>
      </c>
      <c r="K11" s="110" t="s">
        <v>14</v>
      </c>
      <c r="L11" s="1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</row>
    <row r="12" spans="1:24" ht="15.75">
      <c r="A12" s="109"/>
      <c r="B12" s="109"/>
      <c r="C12" s="109"/>
      <c r="D12" s="104">
        <v>2013</v>
      </c>
      <c r="E12" s="101" t="s">
        <v>19</v>
      </c>
      <c r="F12" s="101">
        <v>1</v>
      </c>
      <c r="G12" s="109"/>
      <c r="H12" s="10" t="s">
        <v>16</v>
      </c>
      <c r="I12" s="10" t="s">
        <v>15</v>
      </c>
      <c r="J12" s="109"/>
      <c r="K12" s="10" t="s">
        <v>16</v>
      </c>
      <c r="L12" s="10" t="s">
        <v>15</v>
      </c>
      <c r="N12" s="71" t="s">
        <v>53</v>
      </c>
      <c r="X12" s="11"/>
    </row>
    <row r="13" spans="1:24" ht="15.75">
      <c r="A13" s="10" t="s">
        <v>17</v>
      </c>
      <c r="B13" s="12" t="s">
        <v>18</v>
      </c>
      <c r="C13" s="13"/>
      <c r="D13" s="13"/>
      <c r="E13" s="118">
        <f>IF(E12="I",90,IF(E12="II",91,92))</f>
        <v>90</v>
      </c>
      <c r="F13" s="102">
        <f>IF(OR(F12=1,F12=3,F12=5,F12=7,F12=8,F12=10,F12=12),31,IF(F12=2,28,30))</f>
        <v>31</v>
      </c>
      <c r="G13" s="13"/>
      <c r="H13" s="14"/>
      <c r="I13" s="14"/>
      <c r="J13" s="13"/>
      <c r="K13" s="14"/>
      <c r="L13" s="14"/>
      <c r="M13" s="8"/>
      <c r="X13" s="15"/>
    </row>
    <row r="14" spans="1:24" s="7" customFormat="1" ht="15.75">
      <c r="A14" s="10">
        <v>1</v>
      </c>
      <c r="B14" s="57" t="s">
        <v>46</v>
      </c>
      <c r="C14" s="12" t="s">
        <v>21</v>
      </c>
      <c r="D14" s="58">
        <v>6068739000</v>
      </c>
      <c r="E14" s="58">
        <f>D14/365*$E$13</f>
        <v>1496401397.2602739</v>
      </c>
      <c r="F14" s="58">
        <f>D14/365*$F$13</f>
        <v>515427147.94520551</v>
      </c>
      <c r="G14" s="58">
        <f>588518950/1.1</f>
        <v>535017227.27272725</v>
      </c>
      <c r="H14" s="59">
        <f>G14/F14</f>
        <v>1.0380074650813782</v>
      </c>
      <c r="I14" s="59">
        <f>G14/N14</f>
        <v>1.0166647309918624</v>
      </c>
      <c r="J14" s="58">
        <f>G14</f>
        <v>535017227.27272725</v>
      </c>
      <c r="K14" s="59">
        <f>J14/D14</f>
        <v>8.815953813019925E-2</v>
      </c>
      <c r="L14" s="59">
        <f>J14/N14</f>
        <v>1.0166647309918624</v>
      </c>
      <c r="M14" s="16"/>
      <c r="N14" s="67">
        <v>526247455</v>
      </c>
      <c r="X14" s="17"/>
    </row>
    <row r="15" spans="1:24" s="7" customFormat="1" ht="15.75">
      <c r="A15" s="10">
        <v>2</v>
      </c>
      <c r="B15" s="57" t="s">
        <v>47</v>
      </c>
      <c r="C15" s="12" t="s">
        <v>23</v>
      </c>
      <c r="D15" s="60">
        <v>86570</v>
      </c>
      <c r="E15" s="60">
        <f>D15/365*$E$13</f>
        <v>21346.027397260274</v>
      </c>
      <c r="F15" s="60">
        <f>D15/365*$F$13</f>
        <v>7352.5205479452052</v>
      </c>
      <c r="G15" s="60">
        <v>7325</v>
      </c>
      <c r="H15" s="73">
        <f t="shared" ref="H15:H32" si="0">G15/F15</f>
        <v>0.99625699135884815</v>
      </c>
      <c r="I15" s="73">
        <f t="shared" ref="I15:I32" si="1">G15/N15</f>
        <v>0.9850726196880043</v>
      </c>
      <c r="J15" s="60">
        <f t="shared" ref="J15:J32" si="2">G15</f>
        <v>7325</v>
      </c>
      <c r="K15" s="73">
        <f t="shared" ref="K15:K34" si="3">J15/D15</f>
        <v>8.4613607485272038E-2</v>
      </c>
      <c r="L15" s="73">
        <f t="shared" ref="L15:L34" si="4">J15/N15</f>
        <v>0.9850726196880043</v>
      </c>
      <c r="N15" s="63">
        <v>7436</v>
      </c>
      <c r="X15" s="17"/>
    </row>
    <row r="16" spans="1:24" s="7" customFormat="1" ht="15.75">
      <c r="A16" s="10">
        <v>3</v>
      </c>
      <c r="B16" s="57" t="s">
        <v>33</v>
      </c>
      <c r="C16" s="12" t="s">
        <v>23</v>
      </c>
      <c r="D16" s="60">
        <v>1512872</v>
      </c>
      <c r="E16" s="60">
        <f>D16/365*$E$13</f>
        <v>373036.93150684936</v>
      </c>
      <c r="F16" s="60">
        <f>D16/365*$F$13</f>
        <v>128490.49863013699</v>
      </c>
      <c r="G16" s="60">
        <v>134751</v>
      </c>
      <c r="H16" s="73">
        <f t="shared" si="0"/>
        <v>1.0487234576611304</v>
      </c>
      <c r="I16" s="73">
        <f t="shared" si="1"/>
        <v>1.0292935928381557</v>
      </c>
      <c r="J16" s="60">
        <f t="shared" si="2"/>
        <v>134751</v>
      </c>
      <c r="K16" s="73">
        <f t="shared" si="3"/>
        <v>8.9069663527383672E-2</v>
      </c>
      <c r="L16" s="73">
        <f t="shared" si="4"/>
        <v>1.0292935928381557</v>
      </c>
      <c r="M16" s="16"/>
      <c r="N16" s="68">
        <v>130916</v>
      </c>
      <c r="O16" s="16"/>
      <c r="P16" s="16"/>
      <c r="Q16" s="16"/>
      <c r="R16" s="16"/>
      <c r="S16" s="16"/>
      <c r="T16" s="16"/>
      <c r="U16" s="16"/>
      <c r="X16" s="18"/>
    </row>
    <row r="17" spans="1:24" s="7" customFormat="1" ht="15.75">
      <c r="A17" s="10" t="s">
        <v>24</v>
      </c>
      <c r="B17" s="38" t="s">
        <v>49</v>
      </c>
      <c r="C17" s="12"/>
      <c r="D17" s="58"/>
      <c r="E17" s="58">
        <f>D17/365*91</f>
        <v>0</v>
      </c>
      <c r="F17" s="58"/>
      <c r="G17" s="58"/>
      <c r="H17" s="59"/>
      <c r="I17" s="59"/>
      <c r="J17" s="58"/>
      <c r="K17" s="59"/>
      <c r="L17" s="59"/>
      <c r="N17" s="63"/>
      <c r="O17" s="17"/>
      <c r="P17" s="17"/>
    </row>
    <row r="18" spans="1:24" s="7" customFormat="1" ht="15.75">
      <c r="A18" s="10" t="s">
        <v>19</v>
      </c>
      <c r="B18" s="12" t="s">
        <v>20</v>
      </c>
      <c r="C18" s="12" t="s">
        <v>21</v>
      </c>
      <c r="D18" s="58">
        <v>1603354000</v>
      </c>
      <c r="E18" s="58">
        <f>D18/365*$E$13</f>
        <v>395347561.6438356</v>
      </c>
      <c r="F18" s="58">
        <f>D18/365*$F$13</f>
        <v>136175271.23287669</v>
      </c>
      <c r="G18" s="58">
        <f>157402760/1.1</f>
        <v>143093418.18181816</v>
      </c>
      <c r="H18" s="59">
        <f t="shared" si="0"/>
        <v>1.0508032544110786</v>
      </c>
      <c r="I18" s="59">
        <f t="shared" si="1"/>
        <v>1.2084809586775527</v>
      </c>
      <c r="J18" s="58">
        <f t="shared" si="2"/>
        <v>143093418.18181816</v>
      </c>
      <c r="K18" s="59">
        <f t="shared" si="3"/>
        <v>8.9246303799297072E-2</v>
      </c>
      <c r="L18" s="59">
        <f t="shared" si="4"/>
        <v>1.2084809586775527</v>
      </c>
      <c r="M18" s="20"/>
      <c r="N18" s="66">
        <v>118407673</v>
      </c>
      <c r="O18" s="44"/>
      <c r="P18" s="44"/>
      <c r="Q18" s="20"/>
      <c r="R18" s="20"/>
      <c r="S18" s="20"/>
      <c r="T18" s="21"/>
      <c r="U18" s="16"/>
      <c r="V18" s="22"/>
      <c r="W18" s="22"/>
      <c r="X18" s="23"/>
    </row>
    <row r="19" spans="1:24" s="7" customFormat="1" ht="17.25">
      <c r="A19" s="10" t="s">
        <v>22</v>
      </c>
      <c r="B19" s="12" t="s">
        <v>25</v>
      </c>
      <c r="C19" s="12" t="s">
        <v>23</v>
      </c>
      <c r="D19" s="58">
        <f>SUM(D20:D23)</f>
        <v>89048</v>
      </c>
      <c r="E19" s="58">
        <f>D19/365*$E$13</f>
        <v>21957.04109589041</v>
      </c>
      <c r="F19" s="58">
        <f>D19/365*$F$13</f>
        <v>7562.9808219178085</v>
      </c>
      <c r="G19" s="58">
        <f>SUM(G20:G23)</f>
        <v>8362</v>
      </c>
      <c r="H19" s="73">
        <f t="shared" si="0"/>
        <v>1.105648711387262</v>
      </c>
      <c r="I19" s="73">
        <f t="shared" si="1"/>
        <v>1.2286218042903321</v>
      </c>
      <c r="J19" s="60">
        <f t="shared" si="2"/>
        <v>8362</v>
      </c>
      <c r="K19" s="73">
        <f t="shared" si="3"/>
        <v>9.390441110412362E-2</v>
      </c>
      <c r="L19" s="73">
        <f t="shared" si="4"/>
        <v>1.2286218042903321</v>
      </c>
      <c r="N19" s="66">
        <f>SUM(N20:N23)</f>
        <v>6806</v>
      </c>
      <c r="O19" s="17"/>
      <c r="P19" s="70"/>
      <c r="V19" s="17"/>
      <c r="W19" s="17"/>
      <c r="X19" s="18"/>
    </row>
    <row r="20" spans="1:24" ht="17.25">
      <c r="A20" s="19">
        <v>1</v>
      </c>
      <c r="B20" s="13" t="s">
        <v>26</v>
      </c>
      <c r="C20" s="13" t="s">
        <v>23</v>
      </c>
      <c r="D20" s="60">
        <v>17697</v>
      </c>
      <c r="E20" s="60">
        <f>D20/365*$E$13</f>
        <v>4363.6438356164381</v>
      </c>
      <c r="F20" s="60">
        <f>D20/365*$F$13</f>
        <v>1503.0328767123287</v>
      </c>
      <c r="G20" s="60">
        <v>1200</v>
      </c>
      <c r="H20" s="73">
        <f t="shared" si="0"/>
        <v>0.79838572967534138</v>
      </c>
      <c r="I20" s="73">
        <f t="shared" si="1"/>
        <v>0.99337748344370858</v>
      </c>
      <c r="J20" s="60">
        <f t="shared" si="2"/>
        <v>1200</v>
      </c>
      <c r="K20" s="73">
        <f t="shared" si="3"/>
        <v>6.7808103068316666E-2</v>
      </c>
      <c r="L20" s="73">
        <f t="shared" si="4"/>
        <v>0.99337748344370858</v>
      </c>
      <c r="N20" s="64">
        <v>1208</v>
      </c>
      <c r="O20" s="15"/>
      <c r="P20" s="70"/>
      <c r="V20" s="15"/>
      <c r="W20" s="15"/>
      <c r="X20" s="11"/>
    </row>
    <row r="21" spans="1:24" ht="17.25">
      <c r="A21" s="19">
        <v>2</v>
      </c>
      <c r="B21" s="13" t="s">
        <v>27</v>
      </c>
      <c r="C21" s="13" t="s">
        <v>23</v>
      </c>
      <c r="D21" s="60">
        <v>14500</v>
      </c>
      <c r="E21" s="60">
        <f t="shared" ref="E21:E23" si="5">D21/365*$E$13</f>
        <v>3575.3424657534247</v>
      </c>
      <c r="F21" s="60">
        <f t="shared" ref="F21:F32" si="6">D21/365*$F$13</f>
        <v>1231.5068493150686</v>
      </c>
      <c r="G21" s="60">
        <v>1271</v>
      </c>
      <c r="H21" s="73">
        <f t="shared" si="0"/>
        <v>1.0320689655172413</v>
      </c>
      <c r="I21" s="73">
        <f t="shared" si="1"/>
        <v>1.0478153338829348</v>
      </c>
      <c r="J21" s="60">
        <f t="shared" si="2"/>
        <v>1271</v>
      </c>
      <c r="K21" s="73">
        <f t="shared" si="3"/>
        <v>8.76551724137931E-2</v>
      </c>
      <c r="L21" s="73">
        <f t="shared" si="4"/>
        <v>1.0478153338829348</v>
      </c>
      <c r="N21" s="64">
        <f>527+686</f>
        <v>1213</v>
      </c>
      <c r="O21" s="15"/>
      <c r="P21" s="70"/>
      <c r="V21" s="15"/>
      <c r="W21" s="15"/>
      <c r="X21" s="11"/>
    </row>
    <row r="22" spans="1:24" ht="17.25">
      <c r="A22" s="19">
        <v>3</v>
      </c>
      <c r="B22" s="13" t="s">
        <v>28</v>
      </c>
      <c r="C22" s="13" t="s">
        <v>23</v>
      </c>
      <c r="D22" s="60">
        <v>17043</v>
      </c>
      <c r="E22" s="60">
        <f t="shared" si="5"/>
        <v>4202.3835616438355</v>
      </c>
      <c r="F22" s="60">
        <f t="shared" si="6"/>
        <v>1447.4876712328769</v>
      </c>
      <c r="G22" s="60">
        <v>1597</v>
      </c>
      <c r="H22" s="73">
        <f t="shared" si="0"/>
        <v>1.1032909169027865</v>
      </c>
      <c r="I22" s="73">
        <f t="shared" si="1"/>
        <v>1.3488175675675675</v>
      </c>
      <c r="J22" s="60">
        <f t="shared" si="2"/>
        <v>1597</v>
      </c>
      <c r="K22" s="73">
        <f t="shared" si="3"/>
        <v>9.3704160065716136E-2</v>
      </c>
      <c r="L22" s="73">
        <f t="shared" si="4"/>
        <v>1.3488175675675675</v>
      </c>
      <c r="N22" s="64">
        <v>1184</v>
      </c>
      <c r="O22" s="15"/>
      <c r="P22" s="70"/>
      <c r="V22" s="15"/>
      <c r="W22" s="15"/>
      <c r="X22" s="11"/>
    </row>
    <row r="23" spans="1:24" ht="17.25">
      <c r="A23" s="19">
        <v>4</v>
      </c>
      <c r="B23" s="13" t="s">
        <v>29</v>
      </c>
      <c r="C23" s="13" t="s">
        <v>23</v>
      </c>
      <c r="D23" s="60">
        <v>39808</v>
      </c>
      <c r="E23" s="60">
        <f t="shared" si="5"/>
        <v>9815.6712328767135</v>
      </c>
      <c r="F23" s="60">
        <f t="shared" si="6"/>
        <v>3380.9534246575345</v>
      </c>
      <c r="G23" s="60">
        <v>4294</v>
      </c>
      <c r="H23" s="73">
        <f t="shared" si="0"/>
        <v>1.2700559459599625</v>
      </c>
      <c r="I23" s="73">
        <f t="shared" si="1"/>
        <v>1.3414557950640424</v>
      </c>
      <c r="J23" s="60">
        <f t="shared" si="2"/>
        <v>4294</v>
      </c>
      <c r="K23" s="73">
        <f t="shared" si="3"/>
        <v>0.10786776527331189</v>
      </c>
      <c r="L23" s="73">
        <f t="shared" si="4"/>
        <v>1.3414557950640424</v>
      </c>
      <c r="N23" s="64">
        <v>3201</v>
      </c>
      <c r="O23" s="15"/>
      <c r="P23" s="70"/>
      <c r="V23" s="15"/>
      <c r="W23" s="15"/>
      <c r="X23" s="11"/>
    </row>
    <row r="24" spans="1:24" s="25" customFormat="1" ht="15.75">
      <c r="A24" s="10" t="s">
        <v>30</v>
      </c>
      <c r="B24" s="12" t="s">
        <v>31</v>
      </c>
      <c r="C24" s="13"/>
      <c r="D24" s="60"/>
      <c r="E24" s="58"/>
      <c r="F24" s="58"/>
      <c r="G24" s="60"/>
      <c r="H24" s="59"/>
      <c r="I24" s="59"/>
      <c r="J24" s="58"/>
      <c r="K24" s="59"/>
      <c r="L24" s="59"/>
      <c r="M24" s="24"/>
      <c r="N24" s="64"/>
      <c r="O24" s="43"/>
      <c r="P24" s="43"/>
    </row>
    <row r="25" spans="1:24" s="26" customFormat="1" ht="15.75">
      <c r="A25" s="19">
        <v>1</v>
      </c>
      <c r="B25" s="13" t="s">
        <v>46</v>
      </c>
      <c r="C25" s="12" t="s">
        <v>21</v>
      </c>
      <c r="D25" s="58">
        <v>2748144000</v>
      </c>
      <c r="E25" s="58">
        <f>D25/365*$E$13</f>
        <v>677624547.94520545</v>
      </c>
      <c r="F25" s="58">
        <f t="shared" si="6"/>
        <v>233404010.95890412</v>
      </c>
      <c r="G25" s="58">
        <f>258383625/1.1</f>
        <v>234894204.54545453</v>
      </c>
      <c r="H25" s="59">
        <f t="shared" si="0"/>
        <v>1.0063846100177465</v>
      </c>
      <c r="I25" s="59">
        <f t="shared" si="1"/>
        <v>1.0088301987042725</v>
      </c>
      <c r="J25" s="58">
        <f t="shared" si="2"/>
        <v>234894204.54545453</v>
      </c>
      <c r="K25" s="59">
        <f t="shared" si="3"/>
        <v>8.54737613987675E-2</v>
      </c>
      <c r="L25" s="59">
        <f t="shared" si="4"/>
        <v>1.0088301987042725</v>
      </c>
      <c r="M25" s="39"/>
      <c r="N25" s="69">
        <v>232838197</v>
      </c>
      <c r="O25" s="40"/>
      <c r="P25" s="40"/>
      <c r="Q25" s="40"/>
      <c r="R25" s="40"/>
      <c r="S25" s="40"/>
      <c r="T25" s="40"/>
      <c r="U25" s="40"/>
      <c r="V25" s="40"/>
      <c r="W25" s="40"/>
      <c r="X25" s="41"/>
    </row>
    <row r="26" spans="1:24" s="25" customFormat="1">
      <c r="A26" s="19">
        <v>2</v>
      </c>
      <c r="B26" s="13" t="s">
        <v>32</v>
      </c>
      <c r="C26" s="13" t="s">
        <v>23</v>
      </c>
      <c r="D26" s="60">
        <v>557921</v>
      </c>
      <c r="E26" s="60">
        <f>D26/365*$E$13</f>
        <v>137569.56164383562</v>
      </c>
      <c r="F26" s="60">
        <f t="shared" si="6"/>
        <v>47385.071232876711</v>
      </c>
      <c r="G26" s="60">
        <f>F26</f>
        <v>47385.071232876711</v>
      </c>
      <c r="H26" s="73">
        <f t="shared" si="0"/>
        <v>1</v>
      </c>
      <c r="I26" s="73">
        <f t="shared" si="1"/>
        <v>1.0343375367344083</v>
      </c>
      <c r="J26" s="60">
        <f t="shared" si="2"/>
        <v>47385.071232876711</v>
      </c>
      <c r="K26" s="73">
        <f t="shared" si="3"/>
        <v>8.4931506849315067E-2</v>
      </c>
      <c r="L26" s="73">
        <f t="shared" si="4"/>
        <v>1.0343375367344083</v>
      </c>
      <c r="M26" s="42"/>
      <c r="N26" s="72">
        <v>45812</v>
      </c>
      <c r="O26" s="42"/>
      <c r="P26" s="42"/>
      <c r="Q26" s="42"/>
      <c r="R26" s="42"/>
      <c r="S26" s="42"/>
      <c r="T26" s="42"/>
      <c r="U26" s="42"/>
      <c r="V26" s="42"/>
      <c r="W26" s="42"/>
      <c r="X26" s="43"/>
    </row>
    <row r="27" spans="1:24" s="25" customFormat="1">
      <c r="A27" s="19">
        <v>3</v>
      </c>
      <c r="B27" s="13" t="s">
        <v>33</v>
      </c>
      <c r="C27" s="13" t="s">
        <v>23</v>
      </c>
      <c r="D27" s="60">
        <v>17309331</v>
      </c>
      <c r="E27" s="60">
        <f>D27/365*$E$13</f>
        <v>4268054.2191780824</v>
      </c>
      <c r="F27" s="60">
        <f t="shared" si="6"/>
        <v>1470107.5643835617</v>
      </c>
      <c r="G27" s="60">
        <f>F27</f>
        <v>1470107.5643835617</v>
      </c>
      <c r="H27" s="73">
        <f t="shared" si="0"/>
        <v>1</v>
      </c>
      <c r="I27" s="73">
        <f t="shared" si="1"/>
        <v>1.0422037269764703</v>
      </c>
      <c r="J27" s="60">
        <f t="shared" si="2"/>
        <v>1470107.5643835617</v>
      </c>
      <c r="K27" s="73">
        <f t="shared" si="3"/>
        <v>8.4931506849315067E-2</v>
      </c>
      <c r="L27" s="73">
        <f t="shared" si="4"/>
        <v>1.0422037269764703</v>
      </c>
      <c r="M27" s="42"/>
      <c r="N27" s="72">
        <v>1410576</v>
      </c>
      <c r="O27" s="42"/>
      <c r="P27" s="42"/>
      <c r="Q27" s="42"/>
      <c r="R27" s="42"/>
      <c r="S27" s="42"/>
      <c r="T27" s="42"/>
      <c r="U27" s="42"/>
      <c r="V27" s="42"/>
      <c r="W27" s="42"/>
      <c r="X27" s="43"/>
    </row>
    <row r="28" spans="1:24" s="26" customFormat="1" ht="15.75">
      <c r="A28" s="10" t="s">
        <v>34</v>
      </c>
      <c r="B28" s="12" t="s">
        <v>35</v>
      </c>
      <c r="C28" s="12"/>
      <c r="D28" s="58">
        <f>SUM(D29:D32)</f>
        <v>2875862000</v>
      </c>
      <c r="E28" s="58">
        <f>SUM(E29:E32)</f>
        <v>709116657.53424656</v>
      </c>
      <c r="F28" s="58">
        <f>SUM(F29:F32)</f>
        <v>244251293.15068492</v>
      </c>
      <c r="G28" s="58">
        <f>SUM(G29:G33)</f>
        <v>262198727.27272722</v>
      </c>
      <c r="H28" s="59">
        <f t="shared" si="0"/>
        <v>1.0734793821990947</v>
      </c>
      <c r="I28" s="59">
        <f t="shared" si="1"/>
        <v>1.2597548282883482</v>
      </c>
      <c r="J28" s="58">
        <f>SUM(J29:J33)</f>
        <v>262198727.27272722</v>
      </c>
      <c r="K28" s="59">
        <f t="shared" si="3"/>
        <v>9.1172221501840914E-2</v>
      </c>
      <c r="L28" s="59">
        <f t="shared" si="4"/>
        <v>1.2597548282883482</v>
      </c>
      <c r="M28" s="44"/>
      <c r="N28" s="69">
        <f>SUM(N29:N33)</f>
        <v>208134727</v>
      </c>
      <c r="O28" s="44"/>
      <c r="P28" s="44"/>
      <c r="Q28" s="44"/>
      <c r="R28" s="44"/>
      <c r="S28" s="44"/>
      <c r="T28" s="44"/>
      <c r="U28" s="44"/>
      <c r="V28" s="44"/>
      <c r="W28" s="44"/>
      <c r="X28" s="45"/>
    </row>
    <row r="29" spans="1:24" s="25" customFormat="1">
      <c r="A29" s="19">
        <v>1</v>
      </c>
      <c r="B29" s="13" t="s">
        <v>36</v>
      </c>
      <c r="C29" s="13"/>
      <c r="D29" s="60">
        <v>2418778400</v>
      </c>
      <c r="E29" s="60">
        <f>D29/365*$E$13</f>
        <v>596411112.32876706</v>
      </c>
      <c r="F29" s="60">
        <f t="shared" si="6"/>
        <v>205430494.24657533</v>
      </c>
      <c r="G29" s="60">
        <f>234063000/1.1</f>
        <v>212784545.45454544</v>
      </c>
      <c r="H29" s="73">
        <f t="shared" si="0"/>
        <v>1.0357982452164241</v>
      </c>
      <c r="I29" s="73">
        <f t="shared" si="1"/>
        <v>1.2127239567681833</v>
      </c>
      <c r="J29" s="60">
        <f t="shared" si="2"/>
        <v>212784545.45454544</v>
      </c>
      <c r="K29" s="73">
        <f t="shared" si="3"/>
        <v>8.7971905758107247E-2</v>
      </c>
      <c r="L29" s="73">
        <f t="shared" si="4"/>
        <v>1.2127239567681833</v>
      </c>
      <c r="M29" s="46"/>
      <c r="N29" s="64">
        <v>175460000</v>
      </c>
      <c r="O29" s="62"/>
      <c r="P29" s="47"/>
      <c r="Q29" s="47"/>
      <c r="R29" s="47"/>
      <c r="S29" s="47"/>
      <c r="T29" s="47"/>
      <c r="U29" s="47"/>
      <c r="V29" s="47"/>
      <c r="W29" s="47"/>
      <c r="X29" s="48"/>
    </row>
    <row r="30" spans="1:24" s="25" customFormat="1">
      <c r="A30" s="19">
        <v>2</v>
      </c>
      <c r="B30" s="13" t="s">
        <v>37</v>
      </c>
      <c r="C30" s="13"/>
      <c r="D30" s="60">
        <v>320442873</v>
      </c>
      <c r="E30" s="60">
        <f>D30/365*$E$13</f>
        <v>79013311.150684938</v>
      </c>
      <c r="F30" s="60">
        <f t="shared" si="6"/>
        <v>27215696.063013699</v>
      </c>
      <c r="G30" s="60">
        <f>35941800/1.1</f>
        <v>32674363.636363633</v>
      </c>
      <c r="H30" s="73">
        <f t="shared" si="0"/>
        <v>1.2005705663640291</v>
      </c>
      <c r="I30" s="73">
        <f t="shared" si="1"/>
        <v>1.5355674729675473</v>
      </c>
      <c r="J30" s="60">
        <f t="shared" si="2"/>
        <v>32674363.636363633</v>
      </c>
      <c r="K30" s="73">
        <f t="shared" si="3"/>
        <v>0.10196626728023261</v>
      </c>
      <c r="L30" s="73">
        <f t="shared" si="4"/>
        <v>1.5355674729675473</v>
      </c>
      <c r="M30" s="46"/>
      <c r="N30" s="64">
        <v>21278364</v>
      </c>
      <c r="O30" s="62"/>
      <c r="P30" s="47"/>
      <c r="Q30" s="47"/>
      <c r="R30" s="47"/>
      <c r="S30" s="47"/>
      <c r="T30" s="47"/>
      <c r="U30" s="47"/>
      <c r="V30" s="47"/>
      <c r="W30" s="47"/>
      <c r="X30" s="48"/>
    </row>
    <row r="31" spans="1:24" s="25" customFormat="1">
      <c r="A31" s="19">
        <v>3</v>
      </c>
      <c r="B31" s="13" t="s">
        <v>38</v>
      </c>
      <c r="C31" s="13"/>
      <c r="D31" s="60">
        <v>11186182</v>
      </c>
      <c r="E31" s="60">
        <f>D31/365*$E$13</f>
        <v>2758236.6575342463</v>
      </c>
      <c r="F31" s="60">
        <f t="shared" si="6"/>
        <v>950059.29315068491</v>
      </c>
      <c r="G31" s="60">
        <f>1029000/1.1</f>
        <v>935454.54545454541</v>
      </c>
      <c r="H31" s="73">
        <f t="shared" si="0"/>
        <v>0.98462754082673543</v>
      </c>
      <c r="I31" s="73">
        <f t="shared" si="1"/>
        <v>0.99324343498908008</v>
      </c>
      <c r="J31" s="60">
        <f t="shared" si="2"/>
        <v>935454.54545454541</v>
      </c>
      <c r="K31" s="73">
        <f t="shared" si="3"/>
        <v>8.3625900727750127E-2</v>
      </c>
      <c r="L31" s="73">
        <f t="shared" si="4"/>
        <v>0.99324343498908008</v>
      </c>
      <c r="M31" s="49"/>
      <c r="N31" s="65">
        <v>941818</v>
      </c>
      <c r="O31" s="62"/>
      <c r="P31" s="50"/>
      <c r="Q31" s="50"/>
      <c r="R31" s="50"/>
      <c r="S31" s="50"/>
      <c r="T31" s="50"/>
      <c r="U31" s="50"/>
      <c r="V31" s="50"/>
      <c r="W31" s="50"/>
      <c r="X31" s="51"/>
    </row>
    <row r="32" spans="1:24" s="25" customFormat="1">
      <c r="A32" s="19">
        <v>4</v>
      </c>
      <c r="B32" s="13" t="s">
        <v>39</v>
      </c>
      <c r="C32" s="13"/>
      <c r="D32" s="60">
        <v>125454545</v>
      </c>
      <c r="E32" s="60">
        <f>D32/365*$E$13</f>
        <v>30933997.397260275</v>
      </c>
      <c r="F32" s="60">
        <f t="shared" si="6"/>
        <v>10655043.547945207</v>
      </c>
      <c r="G32" s="60">
        <f>12700000/1.1</f>
        <v>11545454.545454545</v>
      </c>
      <c r="H32" s="73">
        <f t="shared" si="0"/>
        <v>1.0835670913499975</v>
      </c>
      <c r="I32" s="73">
        <f t="shared" si="1"/>
        <v>1.1043478741020814</v>
      </c>
      <c r="J32" s="60">
        <f t="shared" si="2"/>
        <v>11545454.545454545</v>
      </c>
      <c r="K32" s="73">
        <f t="shared" si="3"/>
        <v>9.2028985840684724E-2</v>
      </c>
      <c r="L32" s="73">
        <f t="shared" si="4"/>
        <v>1.1043478741020814</v>
      </c>
      <c r="M32" s="46"/>
      <c r="N32" s="64">
        <v>10454545</v>
      </c>
      <c r="O32" s="62"/>
      <c r="P32" s="52"/>
      <c r="Q32" s="52"/>
      <c r="R32" s="52"/>
      <c r="S32" s="52"/>
      <c r="T32" s="52"/>
      <c r="U32" s="52"/>
      <c r="V32" s="52"/>
      <c r="W32" s="52"/>
      <c r="X32" s="9"/>
    </row>
    <row r="33" spans="1:24" s="25" customFormat="1">
      <c r="A33" s="19">
        <v>5</v>
      </c>
      <c r="B33" s="27" t="s">
        <v>40</v>
      </c>
      <c r="C33" s="13"/>
      <c r="D33" s="60"/>
      <c r="E33" s="60"/>
      <c r="F33" s="58"/>
      <c r="G33" s="60">
        <f>4684800/1.1</f>
        <v>4258909.0909090908</v>
      </c>
      <c r="H33" s="61"/>
      <c r="I33" s="59"/>
      <c r="J33" s="60">
        <f>G33</f>
        <v>4258909.0909090908</v>
      </c>
      <c r="K33" s="59"/>
      <c r="L33" s="59"/>
      <c r="M33" s="53"/>
      <c r="N33" s="54"/>
      <c r="P33" s="54"/>
      <c r="Q33" s="54"/>
      <c r="R33" s="54"/>
      <c r="S33" s="54"/>
      <c r="T33" s="54"/>
      <c r="U33" s="54"/>
      <c r="V33" s="54"/>
      <c r="W33" s="54"/>
      <c r="X33" s="55"/>
    </row>
    <row r="34" spans="1:24" ht="15.75">
      <c r="A34" s="110" t="s">
        <v>41</v>
      </c>
      <c r="B34" s="110"/>
      <c r="C34" s="12"/>
      <c r="D34" s="58">
        <f>D14+D18+D25+D28</f>
        <v>13296099000</v>
      </c>
      <c r="E34" s="58">
        <f>E14+E18+E25+E28</f>
        <v>3278490164.3835611</v>
      </c>
      <c r="F34" s="58">
        <f>F14+F18+F25+F28</f>
        <v>1129257723.2876713</v>
      </c>
      <c r="G34" s="58">
        <f>G14+G18+G25+G28</f>
        <v>1175203577.272727</v>
      </c>
      <c r="H34" s="59">
        <f>G34/F34</f>
        <v>1.0406867741858705</v>
      </c>
      <c r="I34" s="59">
        <f>G34/N34</f>
        <v>1.0825103267253515</v>
      </c>
      <c r="J34" s="58">
        <f>J14+J18+J25+J28</f>
        <v>1175203577.272727</v>
      </c>
      <c r="K34" s="59">
        <f t="shared" si="3"/>
        <v>8.8387095889758863E-2</v>
      </c>
      <c r="L34" s="59">
        <f t="shared" si="4"/>
        <v>1.0825103267253515</v>
      </c>
      <c r="M34" s="56"/>
      <c r="N34" s="22">
        <f>N14+N18+N25+N28</f>
        <v>1085628052</v>
      </c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spans="1:24">
      <c r="J35" s="8"/>
    </row>
    <row r="36" spans="1:24" s="1" customFormat="1" ht="17.25">
      <c r="A36" s="28"/>
      <c r="B36" s="28"/>
      <c r="C36" s="28"/>
      <c r="D36" s="22"/>
      <c r="E36" s="22"/>
      <c r="F36" s="29"/>
      <c r="G36" s="29"/>
      <c r="H36" s="105" t="s">
        <v>54</v>
      </c>
      <c r="I36" s="105"/>
      <c r="J36" s="105"/>
      <c r="K36" s="105"/>
      <c r="L36" s="105"/>
    </row>
    <row r="37" spans="1:24" s="1" customFormat="1" ht="17.25">
      <c r="A37" s="28"/>
      <c r="B37" s="30" t="s">
        <v>42</v>
      </c>
      <c r="C37" s="28"/>
      <c r="D37" s="22"/>
      <c r="E37" s="22"/>
      <c r="F37" s="28"/>
      <c r="G37" s="29"/>
      <c r="H37" s="106" t="s">
        <v>43</v>
      </c>
      <c r="I37" s="106"/>
      <c r="J37" s="106"/>
      <c r="K37" s="106"/>
      <c r="L37" s="106"/>
      <c r="M37" s="1" t="s">
        <v>6</v>
      </c>
      <c r="P37" s="1" t="s">
        <v>55</v>
      </c>
      <c r="Q37" s="28"/>
      <c r="R37" s="28"/>
      <c r="S37" s="29" t="s">
        <v>56</v>
      </c>
    </row>
    <row r="38" spans="1:24" s="1" customFormat="1" ht="17.25">
      <c r="A38" s="28"/>
      <c r="B38" s="31" t="s">
        <v>44</v>
      </c>
      <c r="C38" s="32"/>
      <c r="D38" s="22"/>
      <c r="E38" s="22"/>
      <c r="F38" s="29"/>
      <c r="H38" s="28"/>
      <c r="I38" s="28"/>
      <c r="J38" s="28"/>
      <c r="K38" s="28"/>
      <c r="L38" s="33"/>
      <c r="M38" s="107"/>
      <c r="N38" s="107"/>
      <c r="P38" s="8" t="s">
        <v>57</v>
      </c>
      <c r="Q38" s="36"/>
      <c r="R38" s="35"/>
      <c r="S38" s="36" t="s">
        <v>58</v>
      </c>
    </row>
    <row r="39" spans="1:24" s="1" customFormat="1" ht="17.25">
      <c r="A39" s="28"/>
      <c r="B39" s="34" t="s">
        <v>45</v>
      </c>
      <c r="C39" s="28"/>
      <c r="D39" s="22"/>
      <c r="E39" s="22"/>
      <c r="F39" s="28"/>
      <c r="K39" s="28"/>
      <c r="L39" s="33"/>
      <c r="N39" s="28"/>
    </row>
    <row r="40" spans="1:24" customFormat="1" ht="15">
      <c r="A40" s="35"/>
      <c r="C40" s="35"/>
      <c r="D40" s="35"/>
      <c r="E40" s="35"/>
      <c r="F40" s="36"/>
      <c r="G40" s="6"/>
      <c r="H40" s="6"/>
      <c r="I40" s="6"/>
      <c r="J40" s="6"/>
      <c r="K40" s="35"/>
      <c r="L40" s="37"/>
      <c r="M40" s="108"/>
      <c r="N40" s="108"/>
    </row>
    <row r="41" spans="1:24" customFormat="1" ht="15">
      <c r="B41" s="6"/>
      <c r="J41" t="s">
        <v>6</v>
      </c>
    </row>
  </sheetData>
  <mergeCells count="24">
    <mergeCell ref="A4:C4"/>
    <mergeCell ref="A1:C1"/>
    <mergeCell ref="G1:L1"/>
    <mergeCell ref="A2:C2"/>
    <mergeCell ref="G2:L2"/>
    <mergeCell ref="A3:C3"/>
    <mergeCell ref="A34:B34"/>
    <mergeCell ref="A5:L5"/>
    <mergeCell ref="A6:L6"/>
    <mergeCell ref="A8:L8"/>
    <mergeCell ref="A10:A12"/>
    <mergeCell ref="B10:B12"/>
    <mergeCell ref="C10:C12"/>
    <mergeCell ref="D10:F10"/>
    <mergeCell ref="G10:I10"/>
    <mergeCell ref="J10:L10"/>
    <mergeCell ref="H36:L36"/>
    <mergeCell ref="H37:L37"/>
    <mergeCell ref="M38:N38"/>
    <mergeCell ref="M40:N40"/>
    <mergeCell ref="G11:G12"/>
    <mergeCell ref="H11:I11"/>
    <mergeCell ref="J11:J12"/>
    <mergeCell ref="K11:L11"/>
  </mergeCells>
  <pageMargins left="0.2" right="0.2" top="1" bottom="1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1"/>
  <sheetViews>
    <sheetView topLeftCell="A16" workbookViewId="0">
      <selection activeCell="F22" sqref="F22"/>
    </sheetView>
  </sheetViews>
  <sheetFormatPr defaultRowHeight="14.25"/>
  <cols>
    <col min="1" max="1" width="4.140625" style="6" customWidth="1"/>
    <col min="2" max="2" width="26.140625" style="6" customWidth="1"/>
    <col min="3" max="3" width="6.28515625" style="6" customWidth="1"/>
    <col min="4" max="4" width="13.42578125" style="6" bestFit="1" customWidth="1"/>
    <col min="5" max="5" width="12.28515625" style="6" bestFit="1" customWidth="1"/>
    <col min="6" max="6" width="16" style="6" bestFit="1" customWidth="1"/>
    <col min="7" max="7" width="15.7109375" style="6" customWidth="1"/>
    <col min="8" max="8" width="7.42578125" style="6" customWidth="1"/>
    <col min="9" max="9" width="7.5703125" style="6" customWidth="1"/>
    <col min="10" max="10" width="12.28515625" style="6" customWidth="1"/>
    <col min="11" max="11" width="6.85546875" style="6" customWidth="1"/>
    <col min="12" max="12" width="7.5703125" style="6" bestFit="1" customWidth="1"/>
    <col min="13" max="13" width="11" style="6" bestFit="1" customWidth="1"/>
    <col min="14" max="18" width="10.85546875" style="6" bestFit="1" customWidth="1"/>
    <col min="19" max="20" width="11.140625" style="6" bestFit="1" customWidth="1"/>
    <col min="21" max="23" width="10.85546875" style="6" bestFit="1" customWidth="1"/>
    <col min="24" max="24" width="12.28515625" style="6" bestFit="1" customWidth="1"/>
    <col min="25" max="16384" width="9.140625" style="6"/>
  </cols>
  <sheetData>
    <row r="1" spans="1:24" s="1" customFormat="1" ht="16.5">
      <c r="A1" s="114" t="s">
        <v>0</v>
      </c>
      <c r="B1" s="114"/>
      <c r="C1" s="114"/>
      <c r="F1" s="2"/>
      <c r="G1" s="115" t="s">
        <v>1</v>
      </c>
      <c r="H1" s="115"/>
      <c r="I1" s="115"/>
      <c r="J1" s="115"/>
      <c r="K1" s="115"/>
      <c r="L1" s="115"/>
    </row>
    <row r="2" spans="1:24" s="1" customFormat="1" ht="16.5">
      <c r="A2" s="116" t="s">
        <v>2</v>
      </c>
      <c r="B2" s="116"/>
      <c r="C2" s="116"/>
      <c r="F2" s="3"/>
      <c r="G2" s="117" t="s">
        <v>3</v>
      </c>
      <c r="H2" s="117"/>
      <c r="I2" s="117"/>
      <c r="J2" s="117"/>
      <c r="K2" s="117"/>
      <c r="L2" s="117"/>
    </row>
    <row r="3" spans="1:24" s="1" customFormat="1" ht="16.5">
      <c r="A3" s="116" t="s">
        <v>4</v>
      </c>
      <c r="B3" s="116"/>
      <c r="C3" s="116"/>
      <c r="D3" s="4"/>
      <c r="E3" s="4"/>
      <c r="F3" s="4"/>
      <c r="G3" s="4"/>
      <c r="H3" s="4"/>
      <c r="I3" s="4"/>
      <c r="J3" s="4"/>
      <c r="K3" s="4"/>
      <c r="L3" s="4"/>
    </row>
    <row r="4" spans="1:24" s="1" customFormat="1" ht="16.5">
      <c r="A4" s="113" t="s">
        <v>5</v>
      </c>
      <c r="B4" s="113"/>
      <c r="C4" s="113"/>
      <c r="D4" s="4"/>
      <c r="E4" s="4"/>
      <c r="F4" s="4"/>
      <c r="G4" s="4"/>
      <c r="H4" s="4"/>
      <c r="I4" s="4"/>
      <c r="J4" s="4"/>
      <c r="K4" s="4"/>
      <c r="L4" s="4"/>
    </row>
    <row r="5" spans="1:24" s="1" customFormat="1" ht="51" customHeight="1">
      <c r="A5" s="111" t="s">
        <v>59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" t="s">
        <v>6</v>
      </c>
    </row>
    <row r="6" spans="1:24" s="1" customFormat="1" ht="18.75" customHeight="1">
      <c r="A6" s="111" t="s">
        <v>5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24" s="1" customFormat="1" ht="9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24" s="5" customFormat="1" ht="19.5">
      <c r="A8" s="112" t="s">
        <v>7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10" spans="1:24" ht="15.75">
      <c r="A10" s="109" t="s">
        <v>8</v>
      </c>
      <c r="B10" s="109" t="s">
        <v>9</v>
      </c>
      <c r="C10" s="109" t="s">
        <v>10</v>
      </c>
      <c r="D10" s="110" t="s">
        <v>11</v>
      </c>
      <c r="E10" s="110"/>
      <c r="F10" s="110"/>
      <c r="G10" s="110" t="s">
        <v>60</v>
      </c>
      <c r="H10" s="110"/>
      <c r="I10" s="110"/>
      <c r="J10" s="110" t="s">
        <v>52</v>
      </c>
      <c r="K10" s="110"/>
      <c r="L10" s="110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>
      <c r="A11" s="109"/>
      <c r="B11" s="109"/>
      <c r="C11" s="109"/>
      <c r="D11" s="103" t="s">
        <v>12</v>
      </c>
      <c r="E11" s="100" t="s">
        <v>48</v>
      </c>
      <c r="F11" s="100" t="s">
        <v>72</v>
      </c>
      <c r="G11" s="109" t="s">
        <v>13</v>
      </c>
      <c r="H11" s="110" t="s">
        <v>14</v>
      </c>
      <c r="I11" s="110"/>
      <c r="J11" s="109" t="s">
        <v>13</v>
      </c>
      <c r="K11" s="110" t="s">
        <v>14</v>
      </c>
      <c r="L11" s="1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</row>
    <row r="12" spans="1:24" ht="15.75">
      <c r="A12" s="109"/>
      <c r="B12" s="109"/>
      <c r="C12" s="109"/>
      <c r="D12" s="104">
        <v>2013</v>
      </c>
      <c r="E12" s="101" t="s">
        <v>19</v>
      </c>
      <c r="F12" s="101">
        <v>2</v>
      </c>
      <c r="G12" s="109"/>
      <c r="H12" s="74" t="s">
        <v>16</v>
      </c>
      <c r="I12" s="74" t="s">
        <v>15</v>
      </c>
      <c r="J12" s="109"/>
      <c r="K12" s="74" t="s">
        <v>16</v>
      </c>
      <c r="L12" s="74" t="s">
        <v>15</v>
      </c>
      <c r="N12" s="77" t="s">
        <v>53</v>
      </c>
      <c r="O12" s="77" t="s">
        <v>62</v>
      </c>
      <c r="X12" s="11"/>
    </row>
    <row r="13" spans="1:24" ht="15.75">
      <c r="A13" s="74" t="s">
        <v>17</v>
      </c>
      <c r="B13" s="12" t="s">
        <v>18</v>
      </c>
      <c r="C13" s="13"/>
      <c r="D13" s="13"/>
      <c r="E13" s="118">
        <f>IF(E12="I",90,IF(E12="II",91,92))</f>
        <v>90</v>
      </c>
      <c r="F13" s="102">
        <f>IF(OR(F12=1,F12=3,F12=5,F12=7,F12=8,F12=10,F12=12),31,IF(F12=2,28,30))</f>
        <v>28</v>
      </c>
      <c r="G13" s="13"/>
      <c r="H13" s="14"/>
      <c r="I13" s="14"/>
      <c r="J13" s="13"/>
      <c r="K13" s="14"/>
      <c r="L13" s="14"/>
      <c r="M13" s="8"/>
      <c r="N13" s="8"/>
      <c r="O13" s="8"/>
      <c r="X13" s="15"/>
    </row>
    <row r="14" spans="1:24" s="7" customFormat="1" ht="15.75">
      <c r="A14" s="74">
        <v>1</v>
      </c>
      <c r="B14" s="57" t="s">
        <v>46</v>
      </c>
      <c r="C14" s="12" t="s">
        <v>21</v>
      </c>
      <c r="D14" s="58">
        <v>6068739000</v>
      </c>
      <c r="E14" s="58">
        <f>D14/365*$E$13</f>
        <v>1496401397.2602739</v>
      </c>
      <c r="F14" s="58">
        <f>D14/365*$F$13</f>
        <v>465547101.36986303</v>
      </c>
      <c r="G14" s="58">
        <f>585436060/1.1</f>
        <v>532214599.99999994</v>
      </c>
      <c r="H14" s="59">
        <f>G14/F14</f>
        <v>1.1432024781895733</v>
      </c>
      <c r="I14" s="59">
        <f>G14/O14</f>
        <v>1.189893665661711</v>
      </c>
      <c r="J14" s="58">
        <f>G14+'T01'!G14</f>
        <v>1067231827.2727273</v>
      </c>
      <c r="K14" s="59">
        <f>J14/D14</f>
        <v>0.1758572624844679</v>
      </c>
      <c r="L14" s="59">
        <f>J14/SUM(N14:O14)</f>
        <v>1.0962534018128405</v>
      </c>
      <c r="M14" s="16"/>
      <c r="N14" s="67">
        <v>526247455</v>
      </c>
      <c r="O14" s="78">
        <v>447279127</v>
      </c>
      <c r="X14" s="17"/>
    </row>
    <row r="15" spans="1:24" s="7" customFormat="1" ht="15.75">
      <c r="A15" s="74">
        <v>2</v>
      </c>
      <c r="B15" s="57" t="s">
        <v>47</v>
      </c>
      <c r="C15" s="12" t="s">
        <v>23</v>
      </c>
      <c r="D15" s="60">
        <v>86570</v>
      </c>
      <c r="E15" s="60">
        <f>D15/365*$E$13</f>
        <v>21346.027397260274</v>
      </c>
      <c r="F15" s="60">
        <f>D15/365*$F$13</f>
        <v>6640.9863013698632</v>
      </c>
      <c r="G15" s="58">
        <v>7072</v>
      </c>
      <c r="H15" s="73">
        <f t="shared" ref="H15:H32" si="0">G15/F15</f>
        <v>1.064902061090117</v>
      </c>
      <c r="I15" s="73">
        <f>G15/O15</f>
        <v>1.1031040399313679</v>
      </c>
      <c r="J15" s="60">
        <f>G15+'T01'!G15</f>
        <v>14397</v>
      </c>
      <c r="K15" s="73">
        <f t="shared" ref="K15:K34" si="1">J15/D15</f>
        <v>0.16630472450040429</v>
      </c>
      <c r="L15" s="73">
        <f>J15/SUM(N15:O15)</f>
        <v>1.0397197949014227</v>
      </c>
      <c r="N15" s="63">
        <v>7436</v>
      </c>
      <c r="O15" s="68">
        <v>6411</v>
      </c>
      <c r="X15" s="17"/>
    </row>
    <row r="16" spans="1:24" s="7" customFormat="1" ht="15.75">
      <c r="A16" s="74">
        <v>3</v>
      </c>
      <c r="B16" s="57" t="s">
        <v>33</v>
      </c>
      <c r="C16" s="12" t="s">
        <v>23</v>
      </c>
      <c r="D16" s="60">
        <v>1512872</v>
      </c>
      <c r="E16" s="60">
        <f>D16/365*$E$13</f>
        <v>373036.93150684936</v>
      </c>
      <c r="F16" s="60">
        <f>D16/365*$F$13</f>
        <v>116055.93424657534</v>
      </c>
      <c r="G16" s="58">
        <v>134918</v>
      </c>
      <c r="H16" s="73">
        <f t="shared" si="0"/>
        <v>1.1625256465847738</v>
      </c>
      <c r="I16" s="73">
        <f>G16/O16</f>
        <v>1.2087476930244225</v>
      </c>
      <c r="J16" s="60">
        <f>G16+'T01'!G16</f>
        <v>269669</v>
      </c>
      <c r="K16" s="73">
        <f t="shared" si="1"/>
        <v>0.17824971312840743</v>
      </c>
      <c r="L16" s="73">
        <f t="shared" ref="L16:L34" si="2">J16/SUM(N16:O16)</f>
        <v>1.111881220777293</v>
      </c>
      <c r="M16" s="16"/>
      <c r="N16" s="68">
        <v>130916</v>
      </c>
      <c r="O16" s="68">
        <v>111618</v>
      </c>
      <c r="P16" s="16"/>
      <c r="Q16" s="16"/>
      <c r="R16" s="16"/>
      <c r="S16" s="16"/>
      <c r="T16" s="16"/>
      <c r="U16" s="16"/>
      <c r="X16" s="18"/>
    </row>
    <row r="17" spans="1:24" s="7" customFormat="1" ht="15.75">
      <c r="A17" s="74" t="s">
        <v>24</v>
      </c>
      <c r="B17" s="38" t="s">
        <v>49</v>
      </c>
      <c r="C17" s="12"/>
      <c r="D17" s="58"/>
      <c r="E17" s="58">
        <f>D17/365*91</f>
        <v>0</v>
      </c>
      <c r="F17" s="58"/>
      <c r="G17" s="58"/>
      <c r="H17" s="59"/>
      <c r="I17" s="59"/>
      <c r="J17" s="58">
        <f>G17+'T01'!G17</f>
        <v>0</v>
      </c>
      <c r="K17" s="59"/>
      <c r="L17" s="59"/>
      <c r="N17" s="63"/>
      <c r="O17" s="75"/>
      <c r="P17" s="17"/>
    </row>
    <row r="18" spans="1:24" s="7" customFormat="1" ht="15.75">
      <c r="A18" s="74" t="s">
        <v>19</v>
      </c>
      <c r="B18" s="12" t="s">
        <v>20</v>
      </c>
      <c r="C18" s="12" t="s">
        <v>21</v>
      </c>
      <c r="D18" s="58">
        <v>1603354000</v>
      </c>
      <c r="E18" s="58">
        <f>D18/365*$E$13</f>
        <v>395347561.6438356</v>
      </c>
      <c r="F18" s="58">
        <f>D18/365*$F$13</f>
        <v>122997019.17808218</v>
      </c>
      <c r="G18" s="58">
        <f>124929600/1.1</f>
        <v>113572363.63636363</v>
      </c>
      <c r="H18" s="59">
        <f t="shared" si="0"/>
        <v>0.92337492725678993</v>
      </c>
      <c r="I18" s="59">
        <f t="shared" ref="I18:I32" si="3">G18/O18</f>
        <v>0.88223579981321587</v>
      </c>
      <c r="J18" s="58">
        <f>G18+'T01'!G18</f>
        <v>256665781.81818178</v>
      </c>
      <c r="K18" s="59">
        <f t="shared" si="1"/>
        <v>0.16008054479433848</v>
      </c>
      <c r="L18" s="59">
        <f t="shared" si="2"/>
        <v>1.0385436134050656</v>
      </c>
      <c r="M18" s="20"/>
      <c r="N18" s="66">
        <v>118407673</v>
      </c>
      <c r="O18" s="78">
        <v>128732436</v>
      </c>
      <c r="P18" s="44"/>
      <c r="Q18" s="20"/>
      <c r="R18" s="20"/>
      <c r="S18" s="20"/>
      <c r="T18" s="21"/>
      <c r="U18" s="16"/>
      <c r="V18" s="22"/>
      <c r="W18" s="22"/>
      <c r="X18" s="23"/>
    </row>
    <row r="19" spans="1:24" s="7" customFormat="1" ht="17.25">
      <c r="A19" s="74" t="s">
        <v>22</v>
      </c>
      <c r="B19" s="12" t="s">
        <v>25</v>
      </c>
      <c r="C19" s="12" t="s">
        <v>23</v>
      </c>
      <c r="D19" s="58">
        <f>SUM(D20:D23)</f>
        <v>89048</v>
      </c>
      <c r="E19" s="58">
        <f>D19/365*$E$13</f>
        <v>21957.04109589041</v>
      </c>
      <c r="F19" s="58">
        <f>D19/365*$F$13</f>
        <v>6831.0794520547943</v>
      </c>
      <c r="G19" s="58">
        <f>SUM(G20:G23)</f>
        <v>6409</v>
      </c>
      <c r="H19" s="73">
        <f t="shared" si="0"/>
        <v>0.93821189535018035</v>
      </c>
      <c r="I19" s="73">
        <f t="shared" si="3"/>
        <v>0.91951219512195126</v>
      </c>
      <c r="J19" s="58">
        <f>SUM(J20:J23)</f>
        <v>14771</v>
      </c>
      <c r="K19" s="73">
        <f t="shared" si="1"/>
        <v>0.16587683047345253</v>
      </c>
      <c r="L19" s="73">
        <f>J19/SUM(N19:O19)</f>
        <v>1.0722270615563299</v>
      </c>
      <c r="N19" s="66">
        <f>SUM(N20:N23)</f>
        <v>6806</v>
      </c>
      <c r="O19" s="80">
        <f>SUM(O20:O23)</f>
        <v>6970</v>
      </c>
      <c r="P19" s="70"/>
      <c r="V19" s="17"/>
      <c r="W19" s="17"/>
      <c r="X19" s="18"/>
    </row>
    <row r="20" spans="1:24" ht="17.25">
      <c r="A20" s="19">
        <v>1</v>
      </c>
      <c r="B20" s="13" t="s">
        <v>26</v>
      </c>
      <c r="C20" s="13" t="s">
        <v>23</v>
      </c>
      <c r="D20" s="60">
        <v>17697</v>
      </c>
      <c r="E20" s="60">
        <f>D20/365*$E$13</f>
        <v>4363.6438356164381</v>
      </c>
      <c r="F20" s="60">
        <f>D20/365*$F$13</f>
        <v>1357.5780821917808</v>
      </c>
      <c r="G20" s="60">
        <v>938</v>
      </c>
      <c r="H20" s="73">
        <f t="shared" si="0"/>
        <v>0.69093631688986834</v>
      </c>
      <c r="I20" s="73">
        <f t="shared" si="3"/>
        <v>0.63593220338983047</v>
      </c>
      <c r="J20" s="60">
        <f>G20+'T01'!G20</f>
        <v>2138</v>
      </c>
      <c r="K20" s="73">
        <f t="shared" si="1"/>
        <v>0.12081143696671752</v>
      </c>
      <c r="L20" s="73">
        <f t="shared" si="2"/>
        <v>0.79686917629519194</v>
      </c>
      <c r="N20" s="64">
        <v>1208</v>
      </c>
      <c r="O20" s="68">
        <v>1475</v>
      </c>
      <c r="P20" s="70"/>
      <c r="V20" s="15"/>
      <c r="W20" s="15"/>
      <c r="X20" s="11"/>
    </row>
    <row r="21" spans="1:24" ht="17.25">
      <c r="A21" s="19">
        <v>2</v>
      </c>
      <c r="B21" s="13" t="s">
        <v>27</v>
      </c>
      <c r="C21" s="13" t="s">
        <v>23</v>
      </c>
      <c r="D21" s="60">
        <v>14500</v>
      </c>
      <c r="E21" s="60">
        <f t="shared" ref="E21:E23" si="4">D21/365*$E$13</f>
        <v>3575.3424657534247</v>
      </c>
      <c r="F21" s="60">
        <f t="shared" ref="F21:F32" si="5">D21/365*$F$13</f>
        <v>1112.3287671232877</v>
      </c>
      <c r="G21" s="60">
        <f>532+616</f>
        <v>1148</v>
      </c>
      <c r="H21" s="73">
        <f t="shared" si="0"/>
        <v>1.0320689655172415</v>
      </c>
      <c r="I21" s="73">
        <f>G21/O21</f>
        <v>1.0150309460654288</v>
      </c>
      <c r="J21" s="60">
        <f>G21+'T01'!G21</f>
        <v>2419</v>
      </c>
      <c r="K21" s="73">
        <f t="shared" si="1"/>
        <v>0.16682758620689656</v>
      </c>
      <c r="L21" s="73">
        <f t="shared" si="2"/>
        <v>1.0319965870307166</v>
      </c>
      <c r="N21" s="64">
        <f>527+686</f>
        <v>1213</v>
      </c>
      <c r="O21" s="68">
        <f>493+638</f>
        <v>1131</v>
      </c>
      <c r="P21" s="70"/>
      <c r="V21" s="15"/>
      <c r="W21" s="15"/>
      <c r="X21" s="11"/>
    </row>
    <row r="22" spans="1:24" ht="17.25">
      <c r="A22" s="19">
        <v>3</v>
      </c>
      <c r="B22" s="13" t="s">
        <v>28</v>
      </c>
      <c r="C22" s="13" t="s">
        <v>23</v>
      </c>
      <c r="D22" s="60">
        <v>17043</v>
      </c>
      <c r="E22" s="60">
        <f t="shared" si="4"/>
        <v>4202.3835616438355</v>
      </c>
      <c r="F22" s="60">
        <f t="shared" si="5"/>
        <v>1307.4082191780822</v>
      </c>
      <c r="G22" s="60">
        <v>1350</v>
      </c>
      <c r="H22" s="73">
        <f t="shared" si="0"/>
        <v>1.0325772625543792</v>
      </c>
      <c r="I22" s="73">
        <f t="shared" si="3"/>
        <v>1.0613207547169812</v>
      </c>
      <c r="J22" s="60">
        <f>G22+'T01'!G22</f>
        <v>2947</v>
      </c>
      <c r="K22" s="73">
        <f t="shared" si="1"/>
        <v>0.17291556650824386</v>
      </c>
      <c r="L22" s="73">
        <f t="shared" si="2"/>
        <v>1.1999185667752443</v>
      </c>
      <c r="N22" s="64">
        <v>1184</v>
      </c>
      <c r="O22" s="68">
        <v>1272</v>
      </c>
      <c r="P22" s="70"/>
      <c r="V22" s="15"/>
      <c r="W22" s="15"/>
      <c r="X22" s="11"/>
    </row>
    <row r="23" spans="1:24" ht="17.25">
      <c r="A23" s="19">
        <v>4</v>
      </c>
      <c r="B23" s="13" t="s">
        <v>29</v>
      </c>
      <c r="C23" s="13" t="s">
        <v>23</v>
      </c>
      <c r="D23" s="60">
        <v>39808</v>
      </c>
      <c r="E23" s="60">
        <f t="shared" si="4"/>
        <v>9815.6712328767135</v>
      </c>
      <c r="F23" s="60">
        <f t="shared" si="5"/>
        <v>3053.7643835616441</v>
      </c>
      <c r="G23" s="60">
        <v>2973</v>
      </c>
      <c r="H23" s="73">
        <f t="shared" si="0"/>
        <v>0.97355251636426265</v>
      </c>
      <c r="I23" s="73">
        <f t="shared" si="3"/>
        <v>0.96151358344113846</v>
      </c>
      <c r="J23" s="60">
        <f>G23+'T01'!G23</f>
        <v>7267</v>
      </c>
      <c r="K23" s="73">
        <f t="shared" si="1"/>
        <v>0.18255124598070741</v>
      </c>
      <c r="L23" s="73">
        <f t="shared" si="2"/>
        <v>1.1547751469887175</v>
      </c>
      <c r="N23" s="64">
        <v>3201</v>
      </c>
      <c r="O23" s="68">
        <v>3092</v>
      </c>
      <c r="P23" s="70"/>
      <c r="V23" s="15"/>
      <c r="W23" s="15"/>
      <c r="X23" s="11"/>
    </row>
    <row r="24" spans="1:24" s="25" customFormat="1" ht="15.75">
      <c r="A24" s="74" t="s">
        <v>30</v>
      </c>
      <c r="B24" s="12" t="s">
        <v>31</v>
      </c>
      <c r="C24" s="13"/>
      <c r="D24" s="60"/>
      <c r="E24" s="58"/>
      <c r="F24" s="58"/>
      <c r="G24" s="60"/>
      <c r="H24" s="59"/>
      <c r="I24" s="59"/>
      <c r="J24" s="58"/>
      <c r="K24" s="59"/>
      <c r="L24" s="59"/>
      <c r="M24" s="24"/>
      <c r="N24" s="64"/>
      <c r="O24" s="79"/>
      <c r="P24" s="43"/>
    </row>
    <row r="25" spans="1:24" s="26" customFormat="1" ht="15.75">
      <c r="A25" s="19">
        <v>1</v>
      </c>
      <c r="B25" s="13" t="s">
        <v>46</v>
      </c>
      <c r="C25" s="12" t="s">
        <v>21</v>
      </c>
      <c r="D25" s="58">
        <v>2748144000</v>
      </c>
      <c r="E25" s="58">
        <f>D25/365*$E$13</f>
        <v>677624547.94520545</v>
      </c>
      <c r="F25" s="58">
        <f t="shared" si="5"/>
        <v>210816526.02739725</v>
      </c>
      <c r="G25" s="58">
        <f>258383625/1.1</f>
        <v>234894204.54545453</v>
      </c>
      <c r="H25" s="59">
        <f t="shared" si="0"/>
        <v>1.114211532519648</v>
      </c>
      <c r="I25" s="59">
        <f t="shared" si="3"/>
        <v>1.0784046943680907</v>
      </c>
      <c r="J25" s="58">
        <f>G25+'T01'!G25</f>
        <v>469788409.09090906</v>
      </c>
      <c r="K25" s="59">
        <f t="shared" si="1"/>
        <v>0.170947522797535</v>
      </c>
      <c r="L25" s="59">
        <f t="shared" si="2"/>
        <v>1.0424578716213169</v>
      </c>
      <c r="M25" s="39"/>
      <c r="N25" s="69">
        <v>232838197</v>
      </c>
      <c r="O25" s="78">
        <v>217816378</v>
      </c>
      <c r="P25" s="40"/>
      <c r="Q25" s="40"/>
      <c r="R25" s="40"/>
      <c r="S25" s="40"/>
      <c r="T25" s="40"/>
      <c r="U25" s="40"/>
      <c r="V25" s="40"/>
      <c r="W25" s="40"/>
      <c r="X25" s="41"/>
    </row>
    <row r="26" spans="1:24" s="25" customFormat="1">
      <c r="A26" s="19">
        <v>2</v>
      </c>
      <c r="B26" s="13" t="s">
        <v>32</v>
      </c>
      <c r="C26" s="13" t="s">
        <v>23</v>
      </c>
      <c r="D26" s="60">
        <v>557921</v>
      </c>
      <c r="E26" s="60">
        <f>D26/365*$E$13</f>
        <v>137569.56164383562</v>
      </c>
      <c r="F26" s="60">
        <f t="shared" si="5"/>
        <v>42799.419178082193</v>
      </c>
      <c r="G26" s="60">
        <f>F26</f>
        <v>42799.419178082193</v>
      </c>
      <c r="H26" s="73">
        <f t="shared" si="0"/>
        <v>1</v>
      </c>
      <c r="I26" s="59">
        <f t="shared" si="3"/>
        <v>0.99867974561513428</v>
      </c>
      <c r="J26" s="60">
        <f>G26+'T01'!G26</f>
        <v>90184.490410958912</v>
      </c>
      <c r="K26" s="73">
        <f t="shared" si="1"/>
        <v>0.16164383561643836</v>
      </c>
      <c r="L26" s="73">
        <f t="shared" si="2"/>
        <v>1.0171030181233243</v>
      </c>
      <c r="M26" s="42"/>
      <c r="N26" s="72">
        <v>45812</v>
      </c>
      <c r="O26" s="75">
        <v>42856</v>
      </c>
      <c r="P26" s="42"/>
      <c r="Q26" s="42"/>
      <c r="R26" s="42"/>
      <c r="S26" s="42"/>
      <c r="T26" s="42"/>
      <c r="U26" s="42"/>
      <c r="V26" s="42"/>
      <c r="W26" s="42"/>
      <c r="X26" s="43"/>
    </row>
    <row r="27" spans="1:24" s="25" customFormat="1">
      <c r="A27" s="19">
        <v>3</v>
      </c>
      <c r="B27" s="13" t="s">
        <v>33</v>
      </c>
      <c r="C27" s="13" t="s">
        <v>23</v>
      </c>
      <c r="D27" s="60">
        <v>17309331</v>
      </c>
      <c r="E27" s="60">
        <f>D27/365*$E$13</f>
        <v>4268054.2191780824</v>
      </c>
      <c r="F27" s="60">
        <f t="shared" si="5"/>
        <v>1327839.090410959</v>
      </c>
      <c r="G27" s="60">
        <f>F27</f>
        <v>1327839.090410959</v>
      </c>
      <c r="H27" s="73">
        <f t="shared" si="0"/>
        <v>1</v>
      </c>
      <c r="I27" s="59">
        <f>G27/O27</f>
        <v>1.0062649786528957</v>
      </c>
      <c r="J27" s="60">
        <f>G27+'T01'!G27</f>
        <v>2797946.6547945207</v>
      </c>
      <c r="K27" s="73">
        <f t="shared" si="1"/>
        <v>0.16164383561643836</v>
      </c>
      <c r="L27" s="73">
        <f t="shared" si="2"/>
        <v>1.0248333258103666</v>
      </c>
      <c r="M27" s="42"/>
      <c r="N27" s="72">
        <v>1410576</v>
      </c>
      <c r="O27" s="75">
        <v>1319572</v>
      </c>
      <c r="P27" s="42"/>
      <c r="Q27" s="42"/>
      <c r="R27" s="42"/>
      <c r="S27" s="42"/>
      <c r="T27" s="42"/>
      <c r="U27" s="42"/>
      <c r="V27" s="42"/>
      <c r="W27" s="42"/>
      <c r="X27" s="43"/>
    </row>
    <row r="28" spans="1:24" s="26" customFormat="1" ht="15.75">
      <c r="A28" s="74" t="s">
        <v>34</v>
      </c>
      <c r="B28" s="12" t="s">
        <v>35</v>
      </c>
      <c r="C28" s="12"/>
      <c r="D28" s="58">
        <f>SUM(D29:D32)</f>
        <v>2875862000</v>
      </c>
      <c r="E28" s="58">
        <f>SUM(E29:E32)</f>
        <v>709116657.53424656</v>
      </c>
      <c r="F28" s="58">
        <f>SUM(F29:F32)</f>
        <v>220614071.23287672</v>
      </c>
      <c r="G28" s="58">
        <f>SUM(G29:G33)</f>
        <v>254605272.72727269</v>
      </c>
      <c r="H28" s="59">
        <f t="shared" si="0"/>
        <v>1.1540754010133625</v>
      </c>
      <c r="I28" s="59">
        <f t="shared" si="3"/>
        <v>1.1965162282342718</v>
      </c>
      <c r="J28" s="58">
        <f>SUM(J29:J33)</f>
        <v>516803999.99999994</v>
      </c>
      <c r="K28" s="59">
        <f t="shared" si="1"/>
        <v>0.17970403308642763</v>
      </c>
      <c r="L28" s="59">
        <f t="shared" si="2"/>
        <v>1.2277859182901871</v>
      </c>
      <c r="M28" s="44"/>
      <c r="N28" s="69">
        <f>SUM(N29:N33)</f>
        <v>208134727</v>
      </c>
      <c r="O28" s="76">
        <f>SUM(O29:O33)</f>
        <v>212788817</v>
      </c>
      <c r="P28" s="44"/>
      <c r="Q28" s="44"/>
      <c r="R28" s="44"/>
      <c r="S28" s="44"/>
      <c r="T28" s="44"/>
      <c r="U28" s="44"/>
      <c r="V28" s="44"/>
      <c r="W28" s="44"/>
      <c r="X28" s="45"/>
    </row>
    <row r="29" spans="1:24" s="25" customFormat="1">
      <c r="A29" s="19">
        <v>1</v>
      </c>
      <c r="B29" s="13" t="s">
        <v>36</v>
      </c>
      <c r="C29" s="13"/>
      <c r="D29" s="60">
        <v>2418778400</v>
      </c>
      <c r="E29" s="60">
        <f>D29/365*$E$13</f>
        <v>596411112.32876706</v>
      </c>
      <c r="F29" s="60">
        <f t="shared" si="5"/>
        <v>185550123.83561644</v>
      </c>
      <c r="G29" s="60">
        <f>234063000/1.1</f>
        <v>212784545.45454544</v>
      </c>
      <c r="H29" s="73">
        <f t="shared" si="0"/>
        <v>1.1467766286324694</v>
      </c>
      <c r="I29" s="73">
        <f>G29/O29</f>
        <v>1.2033716208309699</v>
      </c>
      <c r="J29" s="60">
        <f>G29+'T01'!G29</f>
        <v>425569090.90909088</v>
      </c>
      <c r="K29" s="73">
        <f t="shared" si="1"/>
        <v>0.17594381151621449</v>
      </c>
      <c r="L29" s="73">
        <f t="shared" si="2"/>
        <v>1.2080296880695613</v>
      </c>
      <c r="M29" s="46"/>
      <c r="N29" s="64">
        <v>175460000</v>
      </c>
      <c r="O29" s="75">
        <v>176823636</v>
      </c>
      <c r="P29" s="47"/>
      <c r="Q29" s="47"/>
      <c r="R29" s="47"/>
      <c r="S29" s="47"/>
      <c r="T29" s="47"/>
      <c r="U29" s="47"/>
      <c r="V29" s="47"/>
      <c r="W29" s="47"/>
      <c r="X29" s="48"/>
    </row>
    <row r="30" spans="1:24" s="25" customFormat="1">
      <c r="A30" s="19">
        <v>2</v>
      </c>
      <c r="B30" s="13" t="s">
        <v>37</v>
      </c>
      <c r="C30" s="13"/>
      <c r="D30" s="60">
        <v>320442873</v>
      </c>
      <c r="E30" s="60">
        <f>D30/365*$E$13</f>
        <v>79013311.150684938</v>
      </c>
      <c r="F30" s="60">
        <f t="shared" si="5"/>
        <v>24581919.024657533</v>
      </c>
      <c r="G30" s="60">
        <f>23168000/1.1</f>
        <v>21061818.18181818</v>
      </c>
      <c r="H30" s="73">
        <f t="shared" si="0"/>
        <v>0.85680121884266136</v>
      </c>
      <c r="I30" s="73">
        <f t="shared" si="3"/>
        <v>0.85763890491727857</v>
      </c>
      <c r="J30" s="60">
        <f>G30+'T01'!G30</f>
        <v>53736181.818181813</v>
      </c>
      <c r="K30" s="73">
        <f t="shared" si="1"/>
        <v>0.16769348406816278</v>
      </c>
      <c r="L30" s="73">
        <f t="shared" si="2"/>
        <v>1.1723505926884983</v>
      </c>
      <c r="M30" s="46"/>
      <c r="N30" s="64">
        <v>21278364</v>
      </c>
      <c r="O30" s="75">
        <v>24557909</v>
      </c>
      <c r="P30" s="47"/>
      <c r="Q30" s="47"/>
      <c r="R30" s="47"/>
      <c r="S30" s="47"/>
      <c r="T30" s="47"/>
      <c r="U30" s="47"/>
      <c r="V30" s="47"/>
      <c r="W30" s="47"/>
      <c r="X30" s="48"/>
    </row>
    <row r="31" spans="1:24" s="25" customFormat="1">
      <c r="A31" s="19">
        <v>3</v>
      </c>
      <c r="B31" s="13" t="s">
        <v>38</v>
      </c>
      <c r="C31" s="13"/>
      <c r="D31" s="60">
        <v>11186182</v>
      </c>
      <c r="E31" s="60">
        <f>D31/365*$E$13</f>
        <v>2758236.6575342463</v>
      </c>
      <c r="F31" s="60">
        <f t="shared" si="5"/>
        <v>858118.07123287674</v>
      </c>
      <c r="G31" s="60">
        <f>626000/1.1</f>
        <v>569090.90909090906</v>
      </c>
      <c r="H31" s="73">
        <f t="shared" si="0"/>
        <v>0.66318485552143647</v>
      </c>
      <c r="I31" s="73">
        <f t="shared" si="3"/>
        <v>0.59732841526576774</v>
      </c>
      <c r="J31" s="60">
        <f>G31+'T01'!G31</f>
        <v>1504545.4545454546</v>
      </c>
      <c r="K31" s="73">
        <f t="shared" si="1"/>
        <v>0.13450035539788774</v>
      </c>
      <c r="L31" s="73">
        <f t="shared" si="2"/>
        <v>0.79414606385462183</v>
      </c>
      <c r="M31" s="49"/>
      <c r="N31" s="65">
        <v>941818</v>
      </c>
      <c r="O31" s="75">
        <v>952727</v>
      </c>
      <c r="P31" s="50"/>
      <c r="Q31" s="50"/>
      <c r="R31" s="50"/>
      <c r="S31" s="50"/>
      <c r="T31" s="50"/>
      <c r="U31" s="50"/>
      <c r="V31" s="50"/>
      <c r="W31" s="50"/>
      <c r="X31" s="51"/>
    </row>
    <row r="32" spans="1:24" s="25" customFormat="1">
      <c r="A32" s="19">
        <v>4</v>
      </c>
      <c r="B32" s="13" t="s">
        <v>39</v>
      </c>
      <c r="C32" s="13"/>
      <c r="D32" s="60">
        <v>125454545</v>
      </c>
      <c r="E32" s="60">
        <f>D32/365*$E$13</f>
        <v>30933997.397260275</v>
      </c>
      <c r="F32" s="60">
        <f t="shared" si="5"/>
        <v>9623910.3013698645</v>
      </c>
      <c r="G32" s="60">
        <f>12700000/1.1</f>
        <v>11545454.545454545</v>
      </c>
      <c r="H32" s="73">
        <f t="shared" si="0"/>
        <v>1.1996635654232115</v>
      </c>
      <c r="I32" s="73">
        <f t="shared" si="3"/>
        <v>1.1043478741020814</v>
      </c>
      <c r="J32" s="60">
        <f>G32+'T01'!G32</f>
        <v>23090909.09090909</v>
      </c>
      <c r="K32" s="73">
        <f t="shared" si="1"/>
        <v>0.18405797168136945</v>
      </c>
      <c r="L32" s="73">
        <f t="shared" si="2"/>
        <v>1.1043478741020814</v>
      </c>
      <c r="M32" s="46"/>
      <c r="N32" s="64">
        <v>10454545</v>
      </c>
      <c r="O32" s="75">
        <v>10454545</v>
      </c>
      <c r="P32" s="52"/>
      <c r="Q32" s="52"/>
      <c r="R32" s="52"/>
      <c r="S32" s="52"/>
      <c r="T32" s="52"/>
      <c r="U32" s="52"/>
      <c r="V32" s="52"/>
      <c r="W32" s="52"/>
      <c r="X32" s="9"/>
    </row>
    <row r="33" spans="1:24" s="25" customFormat="1">
      <c r="A33" s="19">
        <v>5</v>
      </c>
      <c r="B33" s="27" t="s">
        <v>40</v>
      </c>
      <c r="C33" s="13"/>
      <c r="D33" s="60"/>
      <c r="E33" s="60"/>
      <c r="F33" s="58"/>
      <c r="G33" s="60">
        <f>9508800/1.1</f>
        <v>8644363.6363636348</v>
      </c>
      <c r="H33" s="61"/>
      <c r="I33" s="59"/>
      <c r="J33" s="60">
        <f>G33+'T01'!G33</f>
        <v>12903272.727272727</v>
      </c>
      <c r="K33" s="59"/>
      <c r="L33" s="59"/>
      <c r="M33" s="53"/>
      <c r="N33" s="54"/>
      <c r="O33" s="24"/>
      <c r="P33" s="54"/>
      <c r="Q33" s="54"/>
      <c r="R33" s="54"/>
      <c r="S33" s="54"/>
      <c r="T33" s="54"/>
      <c r="U33" s="54"/>
      <c r="V33" s="54"/>
      <c r="W33" s="54"/>
      <c r="X33" s="55"/>
    </row>
    <row r="34" spans="1:24" ht="15.75">
      <c r="A34" s="110" t="s">
        <v>41</v>
      </c>
      <c r="B34" s="110"/>
      <c r="C34" s="12"/>
      <c r="D34" s="58">
        <f>D14+D18+D25+D28</f>
        <v>13296099000</v>
      </c>
      <c r="E34" s="58">
        <f>E14+E18+E25+E28</f>
        <v>3278490164.3835611</v>
      </c>
      <c r="F34" s="58">
        <f>F14+F18+F25+F28</f>
        <v>1019974717.8082192</v>
      </c>
      <c r="G34" s="58">
        <f>G14+G18+G25+G28</f>
        <v>1135286440.9090908</v>
      </c>
      <c r="H34" s="59">
        <f>G34/F34</f>
        <v>1.1130535111190403</v>
      </c>
      <c r="I34" s="59">
        <f>G34/O34</f>
        <v>1.1278239030758226</v>
      </c>
      <c r="J34" s="58">
        <f>J14+J18+J25+J28</f>
        <v>2310490018.181818</v>
      </c>
      <c r="K34" s="59">
        <f t="shared" si="1"/>
        <v>0.17377202277012363</v>
      </c>
      <c r="L34" s="59">
        <f t="shared" si="2"/>
        <v>1.1043115065401061</v>
      </c>
      <c r="M34" s="56"/>
      <c r="N34" s="22">
        <f>N14+N18+N25+N28</f>
        <v>1085628052</v>
      </c>
      <c r="O34" s="22">
        <f>O14+O18+O25+O28</f>
        <v>1006616758</v>
      </c>
      <c r="P34" s="56"/>
      <c r="Q34" s="56"/>
      <c r="R34" s="56"/>
      <c r="S34" s="56"/>
      <c r="T34" s="56"/>
      <c r="U34" s="56"/>
      <c r="V34" s="56"/>
      <c r="W34" s="56"/>
      <c r="X34" s="56"/>
    </row>
    <row r="35" spans="1:24">
      <c r="J35" s="8"/>
    </row>
    <row r="36" spans="1:24" s="1" customFormat="1" ht="17.25">
      <c r="A36" s="28"/>
      <c r="B36" s="28"/>
      <c r="C36" s="28"/>
      <c r="D36" s="22"/>
      <c r="E36" s="22"/>
      <c r="F36" s="29"/>
      <c r="G36" s="29"/>
      <c r="H36" s="105" t="s">
        <v>61</v>
      </c>
      <c r="I36" s="105"/>
      <c r="J36" s="105"/>
      <c r="K36" s="105"/>
      <c r="L36" s="105"/>
    </row>
    <row r="37" spans="1:24" s="1" customFormat="1" ht="17.25">
      <c r="A37" s="28"/>
      <c r="B37" s="30" t="s">
        <v>42</v>
      </c>
      <c r="C37" s="28"/>
      <c r="D37" s="22"/>
      <c r="E37" s="22"/>
      <c r="F37" s="28"/>
      <c r="G37" s="29"/>
      <c r="H37" s="106" t="s">
        <v>43</v>
      </c>
      <c r="I37" s="106"/>
      <c r="J37" s="106"/>
      <c r="K37" s="106"/>
      <c r="L37" s="106"/>
      <c r="M37" s="1" t="s">
        <v>6</v>
      </c>
      <c r="P37" s="1" t="s">
        <v>55</v>
      </c>
      <c r="Q37" s="28"/>
      <c r="R37" s="28"/>
      <c r="S37" s="29" t="s">
        <v>56</v>
      </c>
    </row>
    <row r="38" spans="1:24" s="1" customFormat="1" ht="17.25">
      <c r="A38" s="28"/>
      <c r="B38" s="31" t="s">
        <v>44</v>
      </c>
      <c r="C38" s="32"/>
      <c r="D38" s="22"/>
      <c r="E38" s="22"/>
      <c r="F38" s="29"/>
      <c r="H38" s="28"/>
      <c r="I38" s="28"/>
      <c r="J38" s="28"/>
      <c r="K38" s="28"/>
      <c r="L38" s="33"/>
      <c r="M38" s="107"/>
      <c r="N38" s="107"/>
      <c r="P38" s="8" t="s">
        <v>57</v>
      </c>
      <c r="Q38" s="36"/>
      <c r="R38" s="35"/>
      <c r="S38" s="36" t="s">
        <v>58</v>
      </c>
    </row>
    <row r="39" spans="1:24" s="1" customFormat="1" ht="17.25">
      <c r="A39" s="28"/>
      <c r="B39" s="34" t="s">
        <v>45</v>
      </c>
      <c r="C39" s="28"/>
      <c r="D39" s="22"/>
      <c r="E39" s="22"/>
      <c r="F39" s="28"/>
      <c r="K39" s="28"/>
      <c r="L39" s="33"/>
      <c r="N39" s="28"/>
    </row>
    <row r="40" spans="1:24" customFormat="1" ht="15">
      <c r="A40" s="35"/>
      <c r="C40" s="35"/>
      <c r="D40" s="35"/>
      <c r="E40" s="35"/>
      <c r="F40" s="36"/>
      <c r="G40" s="6"/>
      <c r="H40" s="6"/>
      <c r="I40" s="6"/>
      <c r="J40" s="6"/>
      <c r="K40" s="35"/>
      <c r="L40" s="37"/>
      <c r="M40" s="108"/>
      <c r="N40" s="108"/>
    </row>
    <row r="41" spans="1:24" customFormat="1" ht="15">
      <c r="B41" s="6"/>
      <c r="J41" t="s">
        <v>6</v>
      </c>
    </row>
  </sheetData>
  <mergeCells count="24">
    <mergeCell ref="A34:B34"/>
    <mergeCell ref="H36:L36"/>
    <mergeCell ref="H37:L37"/>
    <mergeCell ref="M38:N38"/>
    <mergeCell ref="M40:N40"/>
    <mergeCell ref="K11:L11"/>
    <mergeCell ref="A5:L5"/>
    <mergeCell ref="A6:L6"/>
    <mergeCell ref="A8:L8"/>
    <mergeCell ref="A10:A12"/>
    <mergeCell ref="B10:B12"/>
    <mergeCell ref="C10:C12"/>
    <mergeCell ref="D10:F10"/>
    <mergeCell ref="G10:I10"/>
    <mergeCell ref="J10:L10"/>
    <mergeCell ref="G11:G12"/>
    <mergeCell ref="H11:I11"/>
    <mergeCell ref="J11:J12"/>
    <mergeCell ref="A4:C4"/>
    <mergeCell ref="A1:C1"/>
    <mergeCell ref="G1:L1"/>
    <mergeCell ref="A2:C2"/>
    <mergeCell ref="G2:L2"/>
    <mergeCell ref="A3:C3"/>
  </mergeCells>
  <pageMargins left="0.2" right="0.2" top="1" bottom="1" header="0.3" footer="0.3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1"/>
  <sheetViews>
    <sheetView topLeftCell="A11" workbookViewId="0">
      <selection activeCell="E18" sqref="E18"/>
    </sheetView>
  </sheetViews>
  <sheetFormatPr defaultRowHeight="14.25"/>
  <cols>
    <col min="1" max="1" width="4.140625" style="6" customWidth="1"/>
    <col min="2" max="2" width="26.140625" style="6" customWidth="1"/>
    <col min="3" max="3" width="6.28515625" style="6" customWidth="1"/>
    <col min="4" max="4" width="13.42578125" style="6" bestFit="1" customWidth="1"/>
    <col min="5" max="6" width="12.28515625" style="6" bestFit="1" customWidth="1"/>
    <col min="7" max="7" width="15.7109375" style="6" customWidth="1"/>
    <col min="8" max="8" width="7.42578125" style="6" customWidth="1"/>
    <col min="9" max="9" width="7.5703125" style="6" customWidth="1"/>
    <col min="10" max="10" width="12.28515625" style="6" customWidth="1"/>
    <col min="11" max="11" width="6.85546875" style="6" customWidth="1"/>
    <col min="12" max="12" width="7.5703125" style="6" bestFit="1" customWidth="1"/>
    <col min="13" max="13" width="11" style="6" bestFit="1" customWidth="1"/>
    <col min="14" max="18" width="10.85546875" style="6" bestFit="1" customWidth="1"/>
    <col min="19" max="20" width="11.140625" style="6" bestFit="1" customWidth="1"/>
    <col min="21" max="23" width="10.85546875" style="6" bestFit="1" customWidth="1"/>
    <col min="24" max="24" width="12.28515625" style="6" bestFit="1" customWidth="1"/>
    <col min="25" max="16384" width="9.140625" style="6"/>
  </cols>
  <sheetData>
    <row r="1" spans="1:24" s="1" customFormat="1" ht="16.5">
      <c r="A1" s="114" t="s">
        <v>0</v>
      </c>
      <c r="B1" s="114"/>
      <c r="C1" s="114"/>
      <c r="F1" s="2"/>
      <c r="G1" s="115" t="s">
        <v>1</v>
      </c>
      <c r="H1" s="115"/>
      <c r="I1" s="115"/>
      <c r="J1" s="115"/>
      <c r="K1" s="115"/>
      <c r="L1" s="115"/>
    </row>
    <row r="2" spans="1:24" s="1" customFormat="1" ht="16.5">
      <c r="A2" s="116" t="s">
        <v>2</v>
      </c>
      <c r="B2" s="116"/>
      <c r="C2" s="116"/>
      <c r="F2" s="3"/>
      <c r="G2" s="117" t="s">
        <v>3</v>
      </c>
      <c r="H2" s="117"/>
      <c r="I2" s="117"/>
      <c r="J2" s="117"/>
      <c r="K2" s="117"/>
      <c r="L2" s="117"/>
    </row>
    <row r="3" spans="1:24" s="1" customFormat="1" ht="16.5">
      <c r="A3" s="116" t="s">
        <v>4</v>
      </c>
      <c r="B3" s="116"/>
      <c r="C3" s="116"/>
      <c r="D3" s="4"/>
      <c r="E3" s="4"/>
      <c r="F3" s="4"/>
      <c r="G3" s="4"/>
      <c r="H3" s="4"/>
      <c r="I3" s="4"/>
      <c r="J3" s="4"/>
      <c r="K3" s="4"/>
      <c r="L3" s="4"/>
    </row>
    <row r="4" spans="1:24" s="1" customFormat="1" ht="16.5">
      <c r="A4" s="113" t="s">
        <v>5</v>
      </c>
      <c r="B4" s="113"/>
      <c r="C4" s="113"/>
      <c r="D4" s="4"/>
      <c r="E4" s="4"/>
      <c r="F4" s="4"/>
      <c r="G4" s="4"/>
      <c r="H4" s="4"/>
      <c r="I4" s="4"/>
      <c r="J4" s="4"/>
      <c r="K4" s="4"/>
      <c r="L4" s="4"/>
    </row>
    <row r="5" spans="1:24" s="1" customFormat="1" ht="51" customHeight="1">
      <c r="A5" s="111" t="s">
        <v>65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" t="s">
        <v>6</v>
      </c>
    </row>
    <row r="6" spans="1:24" s="1" customFormat="1" ht="18.75" customHeight="1">
      <c r="A6" s="111" t="s">
        <v>5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24" s="1" customFormat="1" ht="9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24" s="5" customFormat="1" ht="19.5">
      <c r="A8" s="112" t="s">
        <v>7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10" spans="1:24" ht="15.75">
      <c r="A10" s="109" t="s">
        <v>8</v>
      </c>
      <c r="B10" s="109" t="s">
        <v>9</v>
      </c>
      <c r="C10" s="109" t="s">
        <v>10</v>
      </c>
      <c r="D10" s="110" t="s">
        <v>11</v>
      </c>
      <c r="E10" s="110"/>
      <c r="F10" s="110"/>
      <c r="G10" s="110" t="s">
        <v>66</v>
      </c>
      <c r="H10" s="110"/>
      <c r="I10" s="110"/>
      <c r="J10" s="110" t="s">
        <v>52</v>
      </c>
      <c r="K10" s="110"/>
      <c r="L10" s="110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>
      <c r="A11" s="109"/>
      <c r="B11" s="109"/>
      <c r="C11" s="109"/>
      <c r="D11" s="103" t="s">
        <v>12</v>
      </c>
      <c r="E11" s="100" t="s">
        <v>48</v>
      </c>
      <c r="F11" s="100" t="s">
        <v>72</v>
      </c>
      <c r="G11" s="109" t="s">
        <v>13</v>
      </c>
      <c r="H11" s="110" t="s">
        <v>14</v>
      </c>
      <c r="I11" s="110"/>
      <c r="J11" s="109" t="s">
        <v>13</v>
      </c>
      <c r="K11" s="110" t="s">
        <v>14</v>
      </c>
      <c r="L11" s="1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</row>
    <row r="12" spans="1:24" ht="15.75">
      <c r="A12" s="109"/>
      <c r="B12" s="109"/>
      <c r="C12" s="109"/>
      <c r="D12" s="104">
        <v>2013</v>
      </c>
      <c r="E12" s="101" t="s">
        <v>19</v>
      </c>
      <c r="F12" s="101">
        <v>3</v>
      </c>
      <c r="G12" s="109"/>
      <c r="H12" s="81" t="s">
        <v>16</v>
      </c>
      <c r="I12" s="81" t="s">
        <v>15</v>
      </c>
      <c r="J12" s="109"/>
      <c r="K12" s="81" t="s">
        <v>16</v>
      </c>
      <c r="L12" s="81" t="s">
        <v>15</v>
      </c>
      <c r="N12" s="77" t="s">
        <v>53</v>
      </c>
      <c r="O12" s="77" t="s">
        <v>62</v>
      </c>
      <c r="P12" s="71" t="s">
        <v>63</v>
      </c>
      <c r="X12" s="11"/>
    </row>
    <row r="13" spans="1:24" ht="15.75">
      <c r="A13" s="81" t="s">
        <v>17</v>
      </c>
      <c r="B13" s="12" t="s">
        <v>18</v>
      </c>
      <c r="C13" s="13"/>
      <c r="D13" s="13"/>
      <c r="E13" s="118">
        <f>IF(E12="I",90,IF(E12="II",91,92))</f>
        <v>90</v>
      </c>
      <c r="F13" s="102">
        <f>IF(OR(F12=1,F12=3,F12=5,F12=7,F12=8,F12=10,F12=12),31,IF(F12=2,28,30))</f>
        <v>31</v>
      </c>
      <c r="G13" s="13"/>
      <c r="H13" s="14"/>
      <c r="I13" s="14"/>
      <c r="J13" s="13"/>
      <c r="K13" s="14"/>
      <c r="L13" s="14"/>
      <c r="M13" s="8"/>
      <c r="N13" s="8"/>
      <c r="O13" s="8"/>
      <c r="P13" s="82"/>
      <c r="X13" s="15"/>
    </row>
    <row r="14" spans="1:24" s="7" customFormat="1" ht="15.75">
      <c r="A14" s="81">
        <v>1</v>
      </c>
      <c r="B14" s="57" t="s">
        <v>46</v>
      </c>
      <c r="C14" s="12" t="s">
        <v>21</v>
      </c>
      <c r="D14" s="58">
        <v>6068739000</v>
      </c>
      <c r="E14" s="58">
        <f>D14/365*$E$13</f>
        <v>1496401397.2602739</v>
      </c>
      <c r="F14" s="58">
        <f>D14/365*$F$13</f>
        <v>515427147.94520551</v>
      </c>
      <c r="G14" s="58">
        <f>591077240/1.1</f>
        <v>537342945.45454538</v>
      </c>
      <c r="H14" s="59">
        <f>G14/F14</f>
        <v>1.0425196802238863</v>
      </c>
      <c r="I14" s="59">
        <f>G14/P14</f>
        <v>1.1388764020580646</v>
      </c>
      <c r="J14" s="58">
        <f>G14+'T02'!J14</f>
        <v>1604574772.7272725</v>
      </c>
      <c r="K14" s="59">
        <f>J14/D14</f>
        <v>0.26440002984594863</v>
      </c>
      <c r="L14" s="59">
        <f>J14/SUM(N14:P14)</f>
        <v>1.1101672553508422</v>
      </c>
      <c r="M14" s="16"/>
      <c r="N14" s="86">
        <v>526247455</v>
      </c>
      <c r="O14" s="87">
        <v>447279127</v>
      </c>
      <c r="P14" s="77">
        <v>471818491</v>
      </c>
      <c r="Q14" s="77"/>
      <c r="X14" s="17"/>
    </row>
    <row r="15" spans="1:24" s="7" customFormat="1" ht="15.75">
      <c r="A15" s="81">
        <v>2</v>
      </c>
      <c r="B15" s="57" t="s">
        <v>47</v>
      </c>
      <c r="C15" s="12" t="s">
        <v>23</v>
      </c>
      <c r="D15" s="60">
        <v>86570</v>
      </c>
      <c r="E15" s="60">
        <f>D15/365*$E$13</f>
        <v>21346.027397260274</v>
      </c>
      <c r="F15" s="60">
        <f>D15/365*$F$13</f>
        <v>7352.5205479452052</v>
      </c>
      <c r="G15" s="58">
        <v>7419</v>
      </c>
      <c r="H15" s="73">
        <f t="shared" ref="H15:H32" si="0">G15/F15</f>
        <v>1.009041722715535</v>
      </c>
      <c r="I15" s="73">
        <f t="shared" ref="I15:I34" si="1">G15/P15</f>
        <v>1.077716443927949</v>
      </c>
      <c r="J15" s="58">
        <f>G15+'T02'!J15</f>
        <v>21816</v>
      </c>
      <c r="K15" s="73">
        <f t="shared" ref="K15:K32" si="2">J15/D15</f>
        <v>0.25200415848446345</v>
      </c>
      <c r="L15" s="73">
        <f t="shared" ref="L15:L32" si="3">J15/SUM(N15:P15)</f>
        <v>1.0523370797356615</v>
      </c>
      <c r="N15" s="88">
        <v>7436</v>
      </c>
      <c r="O15" s="89">
        <v>6411</v>
      </c>
      <c r="P15" s="85">
        <v>6884</v>
      </c>
      <c r="Q15" s="85"/>
      <c r="X15" s="17"/>
    </row>
    <row r="16" spans="1:24" s="7" customFormat="1" ht="15.75">
      <c r="A16" s="81">
        <v>3</v>
      </c>
      <c r="B16" s="57" t="s">
        <v>33</v>
      </c>
      <c r="C16" s="12" t="s">
        <v>23</v>
      </c>
      <c r="D16" s="60">
        <v>1512872</v>
      </c>
      <c r="E16" s="60">
        <f>D16/365*$E$13</f>
        <v>373036.93150684936</v>
      </c>
      <c r="F16" s="60">
        <f>D16/365*$F$13</f>
        <v>128490.49863013699</v>
      </c>
      <c r="G16" s="58">
        <v>136633</v>
      </c>
      <c r="H16" s="73">
        <f t="shared" si="0"/>
        <v>1.0633704550661087</v>
      </c>
      <c r="I16" s="73">
        <f t="shared" si="1"/>
        <v>1.1576615123914424</v>
      </c>
      <c r="J16" s="58">
        <f>G16+'T02'!J16</f>
        <v>406302</v>
      </c>
      <c r="K16" s="73">
        <f t="shared" si="2"/>
        <v>0.2685633682162139</v>
      </c>
      <c r="L16" s="73">
        <f t="shared" si="3"/>
        <v>1.126866892797018</v>
      </c>
      <c r="M16" s="16"/>
      <c r="N16" s="89">
        <v>130916</v>
      </c>
      <c r="O16" s="89">
        <v>111618</v>
      </c>
      <c r="P16" s="85">
        <v>118025</v>
      </c>
      <c r="Q16" s="85"/>
      <c r="R16" s="16"/>
      <c r="S16" s="16"/>
      <c r="T16" s="16"/>
      <c r="U16" s="16"/>
      <c r="X16" s="18"/>
    </row>
    <row r="17" spans="1:24" s="7" customFormat="1" ht="15.75">
      <c r="A17" s="81" t="s">
        <v>24</v>
      </c>
      <c r="B17" s="38" t="s">
        <v>49</v>
      </c>
      <c r="C17" s="12"/>
      <c r="D17" s="58"/>
      <c r="E17" s="58">
        <f>D17/365*91</f>
        <v>0</v>
      </c>
      <c r="F17" s="58"/>
      <c r="G17" s="58"/>
      <c r="H17" s="59"/>
      <c r="I17" s="59"/>
      <c r="J17" s="58"/>
      <c r="K17" s="59"/>
      <c r="L17" s="59"/>
      <c r="N17" s="88"/>
      <c r="O17" s="83"/>
      <c r="P17" s="83"/>
      <c r="Q17" s="85"/>
    </row>
    <row r="18" spans="1:24" s="7" customFormat="1" ht="15.75">
      <c r="A18" s="81" t="s">
        <v>19</v>
      </c>
      <c r="B18" s="12" t="s">
        <v>20</v>
      </c>
      <c r="C18" s="12" t="s">
        <v>21</v>
      </c>
      <c r="D18" s="58">
        <v>1603354000</v>
      </c>
      <c r="E18" s="58">
        <f>D18/365*$E$13</f>
        <v>395347561.6438356</v>
      </c>
      <c r="F18" s="58">
        <f>D18/365*$F$13</f>
        <v>136175271.23287669</v>
      </c>
      <c r="G18" s="58">
        <f>161950240/1.1</f>
        <v>147227490.90909091</v>
      </c>
      <c r="H18" s="59">
        <f t="shared" si="0"/>
        <v>1.081161723242053</v>
      </c>
      <c r="I18" s="59">
        <f t="shared" si="1"/>
        <v>1.1156938707630346</v>
      </c>
      <c r="J18" s="58">
        <f>G18+'T02'!J18</f>
        <v>403893272.72727269</v>
      </c>
      <c r="K18" s="59">
        <f t="shared" si="2"/>
        <v>0.25190523909708817</v>
      </c>
      <c r="L18" s="59">
        <f t="shared" si="3"/>
        <v>1.0653987144954389</v>
      </c>
      <c r="M18" s="20"/>
      <c r="N18" s="90">
        <v>118407673</v>
      </c>
      <c r="O18" s="87">
        <v>128732436</v>
      </c>
      <c r="P18" s="84">
        <v>131960473</v>
      </c>
      <c r="Q18" s="77"/>
      <c r="R18" s="20"/>
      <c r="S18" s="20"/>
      <c r="T18" s="21"/>
      <c r="U18" s="16"/>
      <c r="V18" s="22"/>
      <c r="W18" s="22"/>
      <c r="X18" s="23"/>
    </row>
    <row r="19" spans="1:24" s="7" customFormat="1" ht="15.75">
      <c r="A19" s="81" t="s">
        <v>22</v>
      </c>
      <c r="B19" s="12" t="s">
        <v>25</v>
      </c>
      <c r="C19" s="12" t="s">
        <v>23</v>
      </c>
      <c r="D19" s="58">
        <f>SUM(D20:D23)</f>
        <v>89048</v>
      </c>
      <c r="E19" s="58">
        <f>D19/365*$E$13</f>
        <v>21957.04109589041</v>
      </c>
      <c r="F19" s="58">
        <f>D19/365*$F$13</f>
        <v>7562.9808219178085</v>
      </c>
      <c r="G19" s="58">
        <f>SUM(G20:G23)</f>
        <v>8291</v>
      </c>
      <c r="H19" s="73">
        <f t="shared" si="0"/>
        <v>1.0962608785113357</v>
      </c>
      <c r="I19" s="73">
        <f t="shared" si="1"/>
        <v>1.1057615364097093</v>
      </c>
      <c r="J19" s="58">
        <f>SUM(J20:J23)</f>
        <v>23062</v>
      </c>
      <c r="K19" s="73">
        <f t="shared" si="2"/>
        <v>0.25898391878537419</v>
      </c>
      <c r="L19" s="73">
        <f t="shared" si="3"/>
        <v>1.0840462536429445</v>
      </c>
      <c r="N19" s="90">
        <f>SUM(N20:N23)</f>
        <v>6806</v>
      </c>
      <c r="O19" s="84">
        <f>SUM(O20:O23)</f>
        <v>6970</v>
      </c>
      <c r="P19" s="84">
        <f>SUM(P20:P23)</f>
        <v>7498</v>
      </c>
      <c r="Q19" s="85"/>
      <c r="V19" s="17"/>
      <c r="W19" s="17"/>
      <c r="X19" s="18"/>
    </row>
    <row r="20" spans="1:24">
      <c r="A20" s="19">
        <v>1</v>
      </c>
      <c r="B20" s="13" t="s">
        <v>26</v>
      </c>
      <c r="C20" s="13" t="s">
        <v>23</v>
      </c>
      <c r="D20" s="60">
        <v>17697</v>
      </c>
      <c r="E20" s="60">
        <f>D20/365*$E$13</f>
        <v>4363.6438356164381</v>
      </c>
      <c r="F20" s="60">
        <f>D20/365*$F$13</f>
        <v>1503.0328767123287</v>
      </c>
      <c r="G20" s="60">
        <v>1413</v>
      </c>
      <c r="H20" s="73">
        <f t="shared" si="0"/>
        <v>0.94009919669271447</v>
      </c>
      <c r="I20" s="73">
        <f t="shared" si="1"/>
        <v>1.0786259541984733</v>
      </c>
      <c r="J20" s="60">
        <f>G20+'T02'!J20</f>
        <v>3551</v>
      </c>
      <c r="K20" s="73">
        <f t="shared" si="2"/>
        <v>0.20065547832966038</v>
      </c>
      <c r="L20" s="73">
        <f t="shared" si="3"/>
        <v>0.88930628600050088</v>
      </c>
      <c r="N20" s="91">
        <v>1208</v>
      </c>
      <c r="O20" s="89">
        <v>1475</v>
      </c>
      <c r="P20" s="89">
        <v>1310</v>
      </c>
      <c r="Q20" s="85"/>
      <c r="V20" s="15"/>
      <c r="W20" s="15"/>
      <c r="X20" s="11"/>
    </row>
    <row r="21" spans="1:24">
      <c r="A21" s="19">
        <v>2</v>
      </c>
      <c r="B21" s="13" t="s">
        <v>27</v>
      </c>
      <c r="C21" s="13" t="s">
        <v>23</v>
      </c>
      <c r="D21" s="60">
        <v>14500</v>
      </c>
      <c r="E21" s="60">
        <f t="shared" ref="E21:E23" si="4">D21/365*$E$13</f>
        <v>3575.3424657534247</v>
      </c>
      <c r="F21" s="60">
        <f t="shared" ref="F21:F32" si="5">D21/365*$F$13</f>
        <v>1231.5068493150686</v>
      </c>
      <c r="G21" s="60">
        <f>589+682</f>
        <v>1271</v>
      </c>
      <c r="H21" s="73">
        <f t="shared" si="0"/>
        <v>1.0320689655172413</v>
      </c>
      <c r="I21" s="73">
        <f t="shared" si="1"/>
        <v>1.0512820512820513</v>
      </c>
      <c r="J21" s="60">
        <f>G21+'T02'!J21</f>
        <v>3690</v>
      </c>
      <c r="K21" s="73">
        <f t="shared" si="2"/>
        <v>0.25448275862068964</v>
      </c>
      <c r="L21" s="73">
        <f t="shared" si="3"/>
        <v>1.0385589642555586</v>
      </c>
      <c r="N21" s="91">
        <f>527+686</f>
        <v>1213</v>
      </c>
      <c r="O21" s="89">
        <f>493+638</f>
        <v>1131</v>
      </c>
      <c r="P21" s="89">
        <f>527+682</f>
        <v>1209</v>
      </c>
      <c r="Q21" s="85"/>
      <c r="V21" s="15"/>
      <c r="W21" s="15"/>
      <c r="X21" s="11"/>
    </row>
    <row r="22" spans="1:24">
      <c r="A22" s="19">
        <v>3</v>
      </c>
      <c r="B22" s="13" t="s">
        <v>28</v>
      </c>
      <c r="C22" s="13" t="s">
        <v>23</v>
      </c>
      <c r="D22" s="60">
        <v>17043</v>
      </c>
      <c r="E22" s="60">
        <f t="shared" si="4"/>
        <v>4202.3835616438355</v>
      </c>
      <c r="F22" s="60">
        <f t="shared" si="5"/>
        <v>1447.4876712328769</v>
      </c>
      <c r="G22" s="60">
        <v>1680</v>
      </c>
      <c r="H22" s="73">
        <f t="shared" si="0"/>
        <v>1.1606316470862126</v>
      </c>
      <c r="I22" s="73">
        <f t="shared" si="1"/>
        <v>1.1626297577854672</v>
      </c>
      <c r="J22" s="60">
        <f>G22+'T02'!J22</f>
        <v>4627</v>
      </c>
      <c r="K22" s="73">
        <f t="shared" si="2"/>
        <v>0.27148976119227836</v>
      </c>
      <c r="L22" s="73">
        <f t="shared" si="3"/>
        <v>1.1861061266341963</v>
      </c>
      <c r="N22" s="91">
        <v>1184</v>
      </c>
      <c r="O22" s="89">
        <v>1272</v>
      </c>
      <c r="P22" s="89">
        <v>1445</v>
      </c>
      <c r="Q22" s="85"/>
      <c r="V22" s="15"/>
      <c r="W22" s="15"/>
      <c r="X22" s="11"/>
    </row>
    <row r="23" spans="1:24">
      <c r="A23" s="19">
        <v>4</v>
      </c>
      <c r="B23" s="13" t="s">
        <v>29</v>
      </c>
      <c r="C23" s="13" t="s">
        <v>23</v>
      </c>
      <c r="D23" s="60">
        <v>39808</v>
      </c>
      <c r="E23" s="60">
        <f t="shared" si="4"/>
        <v>9815.6712328767135</v>
      </c>
      <c r="F23" s="60">
        <f t="shared" si="5"/>
        <v>3380.9534246575345</v>
      </c>
      <c r="G23" s="60">
        <v>3927</v>
      </c>
      <c r="H23" s="73">
        <f t="shared" si="0"/>
        <v>1.1615066836946375</v>
      </c>
      <c r="I23" s="73">
        <f t="shared" si="1"/>
        <v>1.1112054329371817</v>
      </c>
      <c r="J23" s="60">
        <f>G23+'T02'!J23</f>
        <v>11194</v>
      </c>
      <c r="K23" s="73">
        <f t="shared" si="2"/>
        <v>0.28119975884244375</v>
      </c>
      <c r="L23" s="73">
        <f t="shared" si="3"/>
        <v>1.1391065431973135</v>
      </c>
      <c r="N23" s="91">
        <v>3201</v>
      </c>
      <c r="O23" s="89">
        <v>3092</v>
      </c>
      <c r="P23" s="89">
        <v>3534</v>
      </c>
      <c r="Q23" s="85"/>
      <c r="V23" s="15"/>
      <c r="W23" s="15"/>
      <c r="X23" s="11"/>
    </row>
    <row r="24" spans="1:24" s="25" customFormat="1" ht="15.75">
      <c r="A24" s="81" t="s">
        <v>30</v>
      </c>
      <c r="B24" s="12" t="s">
        <v>31</v>
      </c>
      <c r="C24" s="13"/>
      <c r="D24" s="60"/>
      <c r="E24" s="58"/>
      <c r="F24" s="58"/>
      <c r="G24" s="60"/>
      <c r="H24" s="59"/>
      <c r="I24" s="59"/>
      <c r="J24" s="58"/>
      <c r="K24" s="59"/>
      <c r="L24" s="59"/>
      <c r="M24" s="24"/>
      <c r="N24" s="91"/>
      <c r="O24" s="92"/>
      <c r="P24" s="92"/>
      <c r="Q24" s="98"/>
    </row>
    <row r="25" spans="1:24" s="26" customFormat="1" ht="15.75">
      <c r="A25" s="19">
        <v>1</v>
      </c>
      <c r="B25" s="13" t="s">
        <v>46</v>
      </c>
      <c r="C25" s="12" t="s">
        <v>21</v>
      </c>
      <c r="D25" s="58">
        <v>2748144000</v>
      </c>
      <c r="E25" s="58">
        <f>D25/365*$E$13</f>
        <v>677624547.94520545</v>
      </c>
      <c r="F25" s="58">
        <f t="shared" si="5"/>
        <v>233404010.95890412</v>
      </c>
      <c r="G25" s="58">
        <f>258383625/1.1</f>
        <v>234894204.54545453</v>
      </c>
      <c r="H25" s="59">
        <f t="shared" si="0"/>
        <v>1.0063846100177465</v>
      </c>
      <c r="I25" s="59">
        <f>G25/P25</f>
        <v>1.0088301987042725</v>
      </c>
      <c r="J25" s="58">
        <f>G25+'T02'!J25</f>
        <v>704682613.63636363</v>
      </c>
      <c r="K25" s="59">
        <f t="shared" si="2"/>
        <v>0.25642128419630256</v>
      </c>
      <c r="L25" s="59">
        <f t="shared" si="3"/>
        <v>1.0310022907401919</v>
      </c>
      <c r="M25" s="39"/>
      <c r="N25" s="93">
        <v>232838197</v>
      </c>
      <c r="O25" s="87">
        <v>217816378</v>
      </c>
      <c r="P25" s="94">
        <v>232838197</v>
      </c>
      <c r="Q25" s="94"/>
      <c r="R25" s="40"/>
      <c r="S25" s="40"/>
      <c r="T25" s="40"/>
      <c r="U25" s="40"/>
      <c r="V25" s="40"/>
      <c r="W25" s="40"/>
      <c r="X25" s="41"/>
    </row>
    <row r="26" spans="1:24" s="25" customFormat="1">
      <c r="A26" s="19">
        <v>2</v>
      </c>
      <c r="B26" s="13" t="s">
        <v>32</v>
      </c>
      <c r="C26" s="13" t="s">
        <v>23</v>
      </c>
      <c r="D26" s="60">
        <v>557921</v>
      </c>
      <c r="E26" s="60">
        <f>D26/365*$E$13</f>
        <v>137569.56164383562</v>
      </c>
      <c r="F26" s="60">
        <f t="shared" si="5"/>
        <v>47385.071232876711</v>
      </c>
      <c r="G26" s="60">
        <f>F26</f>
        <v>47385.071232876711</v>
      </c>
      <c r="H26" s="73">
        <f t="shared" si="0"/>
        <v>1</v>
      </c>
      <c r="I26" s="73">
        <f>G26/P26</f>
        <v>1.0343375367344083</v>
      </c>
      <c r="J26" s="60">
        <f>G26+'T02'!J26</f>
        <v>137569.56164383562</v>
      </c>
      <c r="K26" s="73">
        <f t="shared" si="2"/>
        <v>0.24657534246575344</v>
      </c>
      <c r="L26" s="73">
        <f t="shared" si="3"/>
        <v>1.0229741347697474</v>
      </c>
      <c r="M26" s="42"/>
      <c r="N26" s="56">
        <v>45812</v>
      </c>
      <c r="O26" s="83">
        <v>42856</v>
      </c>
      <c r="P26" s="83">
        <v>45812</v>
      </c>
      <c r="Q26" s="83"/>
      <c r="R26" s="42"/>
      <c r="S26" s="42"/>
      <c r="T26" s="42"/>
      <c r="U26" s="42"/>
      <c r="V26" s="42"/>
      <c r="W26" s="42"/>
      <c r="X26" s="43"/>
    </row>
    <row r="27" spans="1:24" s="25" customFormat="1">
      <c r="A27" s="19">
        <v>3</v>
      </c>
      <c r="B27" s="13" t="s">
        <v>33</v>
      </c>
      <c r="C27" s="13" t="s">
        <v>23</v>
      </c>
      <c r="D27" s="60">
        <v>17309331</v>
      </c>
      <c r="E27" s="60">
        <f>D27/365*$E$13</f>
        <v>4268054.2191780824</v>
      </c>
      <c r="F27" s="60">
        <f t="shared" si="5"/>
        <v>1470107.5643835617</v>
      </c>
      <c r="G27" s="60">
        <f>F27</f>
        <v>1470107.5643835617</v>
      </c>
      <c r="H27" s="73">
        <f t="shared" si="0"/>
        <v>1</v>
      </c>
      <c r="I27" s="73">
        <f>G27/P27</f>
        <v>1.0422037269764703</v>
      </c>
      <c r="J27" s="60">
        <f>G27+'T02'!J27</f>
        <v>4268054.2191780824</v>
      </c>
      <c r="K27" s="73">
        <f t="shared" si="2"/>
        <v>0.24657534246575344</v>
      </c>
      <c r="L27" s="73">
        <f t="shared" si="3"/>
        <v>1.0307507139278258</v>
      </c>
      <c r="M27" s="42"/>
      <c r="N27" s="56">
        <v>1410576</v>
      </c>
      <c r="O27" s="83">
        <v>1319572</v>
      </c>
      <c r="P27" s="83">
        <v>1410576</v>
      </c>
      <c r="Q27" s="83"/>
      <c r="R27" s="42"/>
      <c r="S27" s="42"/>
      <c r="T27" s="42"/>
      <c r="U27" s="42"/>
      <c r="V27" s="42"/>
      <c r="W27" s="42"/>
      <c r="X27" s="43"/>
    </row>
    <row r="28" spans="1:24" s="26" customFormat="1" ht="15.75">
      <c r="A28" s="81" t="s">
        <v>34</v>
      </c>
      <c r="B28" s="12" t="s">
        <v>35</v>
      </c>
      <c r="C28" s="12"/>
      <c r="D28" s="58">
        <f>SUM(D29:D32)</f>
        <v>2875862000</v>
      </c>
      <c r="E28" s="58">
        <f>SUM(E29:E32)</f>
        <v>709116657.53424656</v>
      </c>
      <c r="F28" s="58">
        <f>SUM(F29:F32)</f>
        <v>244251293.15068492</v>
      </c>
      <c r="G28" s="58">
        <f>SUM(G29:G33)</f>
        <v>266471636.36363631</v>
      </c>
      <c r="H28" s="59">
        <f t="shared" si="0"/>
        <v>1.090973287904941</v>
      </c>
      <c r="I28" s="59">
        <f t="shared" si="1"/>
        <v>1.2489445827547057</v>
      </c>
      <c r="J28" s="58">
        <f>SUM(J29:J33)</f>
        <v>783275636.36363626</v>
      </c>
      <c r="K28" s="59">
        <f t="shared" si="2"/>
        <v>0.2723620383605459</v>
      </c>
      <c r="L28" s="59">
        <f t="shared" si="3"/>
        <v>1.2349032035224807</v>
      </c>
      <c r="M28" s="44"/>
      <c r="N28" s="93">
        <f>SUM(N29:N33)</f>
        <v>208134727</v>
      </c>
      <c r="O28" s="94">
        <f>SUM(O29:O33)</f>
        <v>212788817</v>
      </c>
      <c r="P28" s="94">
        <f>SUM(P29:P33)</f>
        <v>213357454</v>
      </c>
      <c r="Q28" s="84"/>
      <c r="R28" s="44"/>
      <c r="S28" s="44"/>
      <c r="T28" s="44"/>
      <c r="U28" s="44"/>
      <c r="V28" s="44"/>
      <c r="W28" s="44"/>
      <c r="X28" s="45"/>
    </row>
    <row r="29" spans="1:24" s="25" customFormat="1">
      <c r="A29" s="19">
        <v>1</v>
      </c>
      <c r="B29" s="13" t="s">
        <v>36</v>
      </c>
      <c r="C29" s="13"/>
      <c r="D29" s="60">
        <v>2418778400</v>
      </c>
      <c r="E29" s="60">
        <f>D29/365*$E$13</f>
        <v>596411112.32876706</v>
      </c>
      <c r="F29" s="60">
        <f t="shared" si="5"/>
        <v>205430494.24657533</v>
      </c>
      <c r="G29" s="60">
        <f>233230000/1.1</f>
        <v>212027272.72727272</v>
      </c>
      <c r="H29" s="73">
        <f t="shared" si="0"/>
        <v>1.0321119729808923</v>
      </c>
      <c r="I29" s="73">
        <f t="shared" si="1"/>
        <v>1.2084080287659451</v>
      </c>
      <c r="J29" s="60">
        <f>G29+'T02'!J29</f>
        <v>637596363.63636363</v>
      </c>
      <c r="K29" s="73">
        <f t="shared" si="2"/>
        <v>0.26360263661870126</v>
      </c>
      <c r="L29" s="73">
        <f t="shared" si="3"/>
        <v>1.2081554757703674</v>
      </c>
      <c r="M29" s="46"/>
      <c r="N29" s="91">
        <v>175460000</v>
      </c>
      <c r="O29" s="83">
        <v>176823636</v>
      </c>
      <c r="P29" s="89">
        <v>175460000</v>
      </c>
      <c r="Q29" s="89"/>
      <c r="R29" s="47"/>
      <c r="S29" s="47"/>
      <c r="T29" s="47"/>
      <c r="U29" s="47"/>
      <c r="V29" s="47"/>
      <c r="W29" s="47"/>
      <c r="X29" s="48"/>
    </row>
    <row r="30" spans="1:24" s="25" customFormat="1">
      <c r="A30" s="19">
        <v>2</v>
      </c>
      <c r="B30" s="13" t="s">
        <v>37</v>
      </c>
      <c r="C30" s="13"/>
      <c r="D30" s="60">
        <v>320442873</v>
      </c>
      <c r="E30" s="60">
        <f>D30/365*$E$13</f>
        <v>79013311.150684938</v>
      </c>
      <c r="F30" s="60">
        <f t="shared" si="5"/>
        <v>27215696.063013699</v>
      </c>
      <c r="G30" s="60">
        <f>33708000/1.1</f>
        <v>30643636.36363636</v>
      </c>
      <c r="H30" s="73">
        <f t="shared" si="0"/>
        <v>1.125954533467959</v>
      </c>
      <c r="I30" s="73">
        <f t="shared" si="1"/>
        <v>1.1537829504458335</v>
      </c>
      <c r="J30" s="60">
        <f>G30+'T02'!J30</f>
        <v>84379818.181818172</v>
      </c>
      <c r="K30" s="73">
        <f t="shared" si="2"/>
        <v>0.26332249923941409</v>
      </c>
      <c r="L30" s="73">
        <f t="shared" si="3"/>
        <v>1.1655388051333735</v>
      </c>
      <c r="M30" s="46"/>
      <c r="N30" s="91">
        <v>21278364</v>
      </c>
      <c r="O30" s="83">
        <v>24557909</v>
      </c>
      <c r="P30" s="89">
        <v>26559273</v>
      </c>
      <c r="Q30" s="89"/>
      <c r="R30" s="47"/>
      <c r="S30" s="47"/>
      <c r="T30" s="47"/>
      <c r="U30" s="47"/>
      <c r="V30" s="47"/>
      <c r="W30" s="47"/>
      <c r="X30" s="48"/>
    </row>
    <row r="31" spans="1:24" s="25" customFormat="1">
      <c r="A31" s="19">
        <v>3</v>
      </c>
      <c r="B31" s="13" t="s">
        <v>38</v>
      </c>
      <c r="C31" s="13"/>
      <c r="D31" s="60">
        <v>11186182</v>
      </c>
      <c r="E31" s="60">
        <f>D31/365*$E$13</f>
        <v>2758236.6575342463</v>
      </c>
      <c r="F31" s="60">
        <f t="shared" si="5"/>
        <v>950059.29315068491</v>
      </c>
      <c r="G31" s="60">
        <f>868000/1.1</f>
        <v>789090.90909090906</v>
      </c>
      <c r="H31" s="73">
        <f t="shared" si="0"/>
        <v>0.83057017049330062</v>
      </c>
      <c r="I31" s="73">
        <f t="shared" si="1"/>
        <v>0.89300448271789412</v>
      </c>
      <c r="J31" s="60">
        <f>G31+'T02'!J31</f>
        <v>2293636.3636363638</v>
      </c>
      <c r="K31" s="73">
        <f t="shared" si="2"/>
        <v>0.20504193152197628</v>
      </c>
      <c r="L31" s="73">
        <f t="shared" si="3"/>
        <v>0.82558924837379699</v>
      </c>
      <c r="M31" s="49"/>
      <c r="N31" s="95">
        <v>941818</v>
      </c>
      <c r="O31" s="83">
        <v>952727</v>
      </c>
      <c r="P31" s="96">
        <v>883636</v>
      </c>
      <c r="Q31" s="96"/>
      <c r="R31" s="50"/>
      <c r="S31" s="50"/>
      <c r="T31" s="50"/>
      <c r="U31" s="50"/>
      <c r="V31" s="50"/>
      <c r="W31" s="50"/>
      <c r="X31" s="51"/>
    </row>
    <row r="32" spans="1:24" s="25" customFormat="1">
      <c r="A32" s="19">
        <v>4</v>
      </c>
      <c r="B32" s="13" t="s">
        <v>39</v>
      </c>
      <c r="C32" s="13"/>
      <c r="D32" s="60">
        <v>125454545</v>
      </c>
      <c r="E32" s="60">
        <f>D32/365*$E$13</f>
        <v>30933997.397260275</v>
      </c>
      <c r="F32" s="60">
        <f t="shared" si="5"/>
        <v>10655043.547945207</v>
      </c>
      <c r="G32" s="60">
        <f>12700000/1.1</f>
        <v>11545454.545454545</v>
      </c>
      <c r="H32" s="73">
        <f t="shared" si="0"/>
        <v>1.0835670913499975</v>
      </c>
      <c r="I32" s="73">
        <f t="shared" si="1"/>
        <v>1.1043478741020814</v>
      </c>
      <c r="J32" s="60">
        <f>G32+'T02'!J32</f>
        <v>34636363.636363633</v>
      </c>
      <c r="K32" s="73">
        <f t="shared" si="2"/>
        <v>0.27608695752205414</v>
      </c>
      <c r="L32" s="73">
        <f t="shared" si="3"/>
        <v>1.1043478741020814</v>
      </c>
      <c r="M32" s="46"/>
      <c r="N32" s="91">
        <v>10454545</v>
      </c>
      <c r="O32" s="83">
        <v>10454545</v>
      </c>
      <c r="P32" s="83">
        <v>10454545</v>
      </c>
      <c r="Q32" s="83"/>
      <c r="R32" s="52"/>
      <c r="S32" s="52"/>
      <c r="T32" s="52"/>
      <c r="U32" s="52"/>
      <c r="V32" s="52"/>
      <c r="W32" s="52"/>
      <c r="X32" s="9"/>
    </row>
    <row r="33" spans="1:24" s="25" customFormat="1">
      <c r="A33" s="19">
        <v>5</v>
      </c>
      <c r="B33" s="27" t="s">
        <v>40</v>
      </c>
      <c r="C33" s="13"/>
      <c r="D33" s="60"/>
      <c r="E33" s="60"/>
      <c r="F33" s="58"/>
      <c r="G33" s="60">
        <f>12612800/1.1</f>
        <v>11466181.818181816</v>
      </c>
      <c r="H33" s="61"/>
      <c r="I33" s="59"/>
      <c r="J33" s="60">
        <f>G33+'T02'!J33</f>
        <v>24369454.545454543</v>
      </c>
      <c r="K33" s="59"/>
      <c r="L33" s="59"/>
      <c r="M33" s="53"/>
      <c r="N33" s="55"/>
      <c r="O33" s="24"/>
      <c r="P33" s="92"/>
      <c r="Q33" s="54"/>
      <c r="R33" s="54"/>
      <c r="S33" s="54"/>
      <c r="T33" s="54"/>
      <c r="U33" s="54"/>
      <c r="V33" s="54"/>
      <c r="W33" s="54"/>
      <c r="X33" s="55"/>
    </row>
    <row r="34" spans="1:24" ht="15.75">
      <c r="A34" s="110" t="s">
        <v>41</v>
      </c>
      <c r="B34" s="110"/>
      <c r="C34" s="12"/>
      <c r="D34" s="58">
        <f>D14+D18+D25+D28</f>
        <v>13296099000</v>
      </c>
      <c r="E34" s="58">
        <f>E14+E18+E25+E28</f>
        <v>3278490164.3835611</v>
      </c>
      <c r="F34" s="58">
        <f>F14+F18+F25+F28</f>
        <v>1129257723.2876713</v>
      </c>
      <c r="G34" s="58">
        <f>G14+G18+G25+G28</f>
        <v>1185936277.272727</v>
      </c>
      <c r="H34" s="59">
        <f>G34/F34</f>
        <v>1.0501909819310726</v>
      </c>
      <c r="I34" s="59">
        <f t="shared" si="1"/>
        <v>1.129490427987849</v>
      </c>
      <c r="J34" s="58">
        <f>J14+J18+J25+J28</f>
        <v>3496426295.454545</v>
      </c>
      <c r="K34" s="59">
        <f>J34/D34</f>
        <v>0.26296632534509146</v>
      </c>
      <c r="L34" s="59">
        <f>J34/SUM(N34:P34)</f>
        <v>1.1127250591210844</v>
      </c>
      <c r="M34" s="56"/>
      <c r="N34" s="22">
        <f>N14+N18+N25+N28</f>
        <v>1085628052</v>
      </c>
      <c r="O34" s="22">
        <f>O14+O18+O25+O28</f>
        <v>1006616758</v>
      </c>
      <c r="P34" s="22">
        <f>P14+P18+P25+P28</f>
        <v>1049974615</v>
      </c>
      <c r="Q34" s="22"/>
      <c r="R34" s="56"/>
      <c r="S34" s="56"/>
      <c r="T34" s="56"/>
      <c r="U34" s="56"/>
      <c r="V34" s="56"/>
      <c r="W34" s="56"/>
      <c r="X34" s="56"/>
    </row>
    <row r="35" spans="1:24">
      <c r="J35" s="8"/>
    </row>
    <row r="36" spans="1:24" s="1" customFormat="1" ht="17.25">
      <c r="A36" s="28"/>
      <c r="B36" s="28"/>
      <c r="C36" s="28"/>
      <c r="D36" s="22"/>
      <c r="E36" s="22"/>
      <c r="F36" s="29"/>
      <c r="G36" s="29"/>
      <c r="H36" s="105" t="s">
        <v>64</v>
      </c>
      <c r="I36" s="105"/>
      <c r="J36" s="105"/>
      <c r="K36" s="105"/>
      <c r="L36" s="105"/>
    </row>
    <row r="37" spans="1:24" s="1" customFormat="1" ht="17.25">
      <c r="A37" s="28"/>
      <c r="B37" s="30" t="s">
        <v>42</v>
      </c>
      <c r="C37" s="28"/>
      <c r="D37" s="22"/>
      <c r="E37" s="22"/>
      <c r="F37" s="28"/>
      <c r="G37" s="29"/>
      <c r="H37" s="106" t="s">
        <v>43</v>
      </c>
      <c r="I37" s="106"/>
      <c r="J37" s="106"/>
      <c r="K37" s="106"/>
      <c r="L37" s="106"/>
      <c r="M37" s="1" t="s">
        <v>6</v>
      </c>
      <c r="P37" s="1" t="s">
        <v>67</v>
      </c>
      <c r="Q37" s="28"/>
      <c r="R37" s="28"/>
      <c r="S37" s="29" t="s">
        <v>56</v>
      </c>
    </row>
    <row r="38" spans="1:24" s="1" customFormat="1" ht="17.25">
      <c r="A38" s="28"/>
      <c r="B38" s="31" t="s">
        <v>44</v>
      </c>
      <c r="C38" s="32"/>
      <c r="D38" s="22"/>
      <c r="E38" s="22"/>
      <c r="F38" s="29"/>
      <c r="H38" s="28"/>
      <c r="I38" s="28"/>
      <c r="J38" s="28"/>
      <c r="K38" s="28"/>
      <c r="L38" s="33"/>
      <c r="M38" s="107"/>
      <c r="N38" s="107"/>
      <c r="P38" s="8" t="s">
        <v>57</v>
      </c>
      <c r="Q38" s="36"/>
      <c r="R38" s="35"/>
      <c r="S38" s="36" t="s">
        <v>58</v>
      </c>
    </row>
    <row r="39" spans="1:24" s="1" customFormat="1" ht="17.25">
      <c r="A39" s="28"/>
      <c r="B39" s="34" t="s">
        <v>45</v>
      </c>
      <c r="C39" s="28"/>
      <c r="D39" s="22"/>
      <c r="E39" s="22"/>
      <c r="F39" s="28"/>
      <c r="K39" s="28"/>
      <c r="L39" s="33"/>
      <c r="N39" s="28"/>
    </row>
    <row r="40" spans="1:24" customFormat="1" ht="15">
      <c r="A40" s="35"/>
      <c r="C40" s="35"/>
      <c r="D40" s="35"/>
      <c r="E40" s="35"/>
      <c r="F40" s="36"/>
      <c r="G40" s="6"/>
      <c r="H40" s="6"/>
      <c r="I40" s="6"/>
      <c r="J40" s="6"/>
      <c r="K40" s="35"/>
      <c r="L40" s="37"/>
      <c r="M40" s="108"/>
      <c r="N40" s="108"/>
    </row>
    <row r="41" spans="1:24" customFormat="1" ht="15">
      <c r="B41" s="6"/>
      <c r="J41" t="s">
        <v>6</v>
      </c>
    </row>
  </sheetData>
  <mergeCells count="24">
    <mergeCell ref="A34:B34"/>
    <mergeCell ref="H36:L36"/>
    <mergeCell ref="H37:L37"/>
    <mergeCell ref="M38:N38"/>
    <mergeCell ref="M40:N40"/>
    <mergeCell ref="K11:L11"/>
    <mergeCell ref="A5:L5"/>
    <mergeCell ref="A6:L6"/>
    <mergeCell ref="A8:L8"/>
    <mergeCell ref="A10:A12"/>
    <mergeCell ref="B10:B12"/>
    <mergeCell ref="C10:C12"/>
    <mergeCell ref="D10:F10"/>
    <mergeCell ref="G10:I10"/>
    <mergeCell ref="J10:L10"/>
    <mergeCell ref="G11:G12"/>
    <mergeCell ref="H11:I11"/>
    <mergeCell ref="J11:J12"/>
    <mergeCell ref="A4:C4"/>
    <mergeCell ref="A1:C1"/>
    <mergeCell ref="G1:L1"/>
    <mergeCell ref="A2:C2"/>
    <mergeCell ref="G2:L2"/>
    <mergeCell ref="A3:C3"/>
  </mergeCells>
  <pageMargins left="0.2" right="0.2" top="1" bottom="1" header="0.3" footer="0.3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1"/>
  <sheetViews>
    <sheetView topLeftCell="A13" workbookViewId="0">
      <selection activeCell="K34" sqref="K34"/>
    </sheetView>
  </sheetViews>
  <sheetFormatPr defaultRowHeight="14.25"/>
  <cols>
    <col min="1" max="1" width="4.140625" style="6" customWidth="1"/>
    <col min="2" max="2" width="26.140625" style="6" customWidth="1"/>
    <col min="3" max="3" width="6.28515625" style="6" customWidth="1"/>
    <col min="4" max="4" width="13.42578125" style="6" bestFit="1" customWidth="1"/>
    <col min="5" max="6" width="12.28515625" style="6" bestFit="1" customWidth="1"/>
    <col min="7" max="7" width="15.7109375" style="6" customWidth="1"/>
    <col min="8" max="8" width="7.42578125" style="6" customWidth="1"/>
    <col min="9" max="9" width="7.5703125" style="6" customWidth="1"/>
    <col min="10" max="10" width="12.28515625" style="6" customWidth="1"/>
    <col min="11" max="11" width="6.85546875" style="6" customWidth="1"/>
    <col min="12" max="12" width="7.5703125" style="6" bestFit="1" customWidth="1"/>
    <col min="13" max="13" width="11" style="6" bestFit="1" customWidth="1"/>
    <col min="14" max="18" width="10.85546875" style="6" bestFit="1" customWidth="1"/>
    <col min="19" max="20" width="11.140625" style="6" bestFit="1" customWidth="1"/>
    <col min="21" max="23" width="10.85546875" style="6" bestFit="1" customWidth="1"/>
    <col min="24" max="24" width="12.28515625" style="6" bestFit="1" customWidth="1"/>
    <col min="25" max="16384" width="9.140625" style="6"/>
  </cols>
  <sheetData>
    <row r="1" spans="1:24" s="1" customFormat="1" ht="16.5">
      <c r="A1" s="114" t="s">
        <v>0</v>
      </c>
      <c r="B1" s="114"/>
      <c r="C1" s="114"/>
      <c r="F1" s="2"/>
      <c r="G1" s="115" t="s">
        <v>1</v>
      </c>
      <c r="H1" s="115"/>
      <c r="I1" s="115"/>
      <c r="J1" s="115"/>
      <c r="K1" s="115"/>
      <c r="L1" s="115"/>
    </row>
    <row r="2" spans="1:24" s="1" customFormat="1" ht="16.5">
      <c r="A2" s="116" t="s">
        <v>2</v>
      </c>
      <c r="B2" s="116"/>
      <c r="C2" s="116"/>
      <c r="F2" s="3"/>
      <c r="G2" s="117" t="s">
        <v>3</v>
      </c>
      <c r="H2" s="117"/>
      <c r="I2" s="117"/>
      <c r="J2" s="117"/>
      <c r="K2" s="117"/>
      <c r="L2" s="117"/>
    </row>
    <row r="3" spans="1:24" s="1" customFormat="1" ht="16.5">
      <c r="A3" s="116" t="s">
        <v>4</v>
      </c>
      <c r="B3" s="116"/>
      <c r="C3" s="116"/>
      <c r="D3" s="4"/>
      <c r="E3" s="4"/>
      <c r="F3" s="4"/>
      <c r="G3" s="4"/>
      <c r="H3" s="4"/>
      <c r="I3" s="4"/>
      <c r="J3" s="4"/>
      <c r="K3" s="4"/>
      <c r="L3" s="4"/>
    </row>
    <row r="4" spans="1:24" s="1" customFormat="1" ht="16.5">
      <c r="A4" s="113" t="s">
        <v>5</v>
      </c>
      <c r="B4" s="113"/>
      <c r="C4" s="113"/>
      <c r="D4" s="4"/>
      <c r="E4" s="4"/>
      <c r="F4" s="4"/>
      <c r="G4" s="4"/>
      <c r="H4" s="4"/>
      <c r="I4" s="4"/>
      <c r="J4" s="4"/>
      <c r="K4" s="4"/>
      <c r="L4" s="4"/>
    </row>
    <row r="5" spans="1:24" s="1" customFormat="1" ht="51" customHeight="1">
      <c r="A5" s="111" t="s">
        <v>70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" t="s">
        <v>6</v>
      </c>
    </row>
    <row r="6" spans="1:24" s="1" customFormat="1" ht="18.75" customHeight="1">
      <c r="A6" s="111" t="s">
        <v>5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24" s="1" customFormat="1" ht="9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24" s="5" customFormat="1" ht="19.5">
      <c r="A8" s="112" t="s">
        <v>7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10" spans="1:24" ht="15.75">
      <c r="A10" s="109" t="s">
        <v>8</v>
      </c>
      <c r="B10" s="109" t="s">
        <v>9</v>
      </c>
      <c r="C10" s="109" t="s">
        <v>10</v>
      </c>
      <c r="D10" s="110" t="s">
        <v>11</v>
      </c>
      <c r="E10" s="110"/>
      <c r="F10" s="110"/>
      <c r="G10" s="110" t="s">
        <v>71</v>
      </c>
      <c r="H10" s="110"/>
      <c r="I10" s="110"/>
      <c r="J10" s="110" t="s">
        <v>52</v>
      </c>
      <c r="K10" s="110"/>
      <c r="L10" s="110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>
      <c r="A11" s="109"/>
      <c r="B11" s="109"/>
      <c r="C11" s="109"/>
      <c r="D11" s="103" t="s">
        <v>12</v>
      </c>
      <c r="E11" s="100" t="s">
        <v>48</v>
      </c>
      <c r="F11" s="100" t="s">
        <v>72</v>
      </c>
      <c r="G11" s="109" t="s">
        <v>13</v>
      </c>
      <c r="H11" s="110" t="s">
        <v>14</v>
      </c>
      <c r="I11" s="110"/>
      <c r="J11" s="109" t="s">
        <v>13</v>
      </c>
      <c r="K11" s="110" t="s">
        <v>14</v>
      </c>
      <c r="L11" s="1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</row>
    <row r="12" spans="1:24" ht="15.75">
      <c r="A12" s="109"/>
      <c r="B12" s="109"/>
      <c r="C12" s="109"/>
      <c r="D12" s="104">
        <v>2013</v>
      </c>
      <c r="E12" s="101" t="s">
        <v>22</v>
      </c>
      <c r="F12" s="101">
        <v>4</v>
      </c>
      <c r="G12" s="109"/>
      <c r="H12" s="97" t="s">
        <v>16</v>
      </c>
      <c r="I12" s="97" t="s">
        <v>15</v>
      </c>
      <c r="J12" s="109"/>
      <c r="K12" s="97" t="s">
        <v>16</v>
      </c>
      <c r="L12" s="97" t="s">
        <v>15</v>
      </c>
      <c r="N12" s="77" t="s">
        <v>53</v>
      </c>
      <c r="O12" s="77" t="s">
        <v>62</v>
      </c>
      <c r="P12" s="71" t="s">
        <v>63</v>
      </c>
      <c r="Q12" s="71" t="s">
        <v>68</v>
      </c>
      <c r="X12" s="11"/>
    </row>
    <row r="13" spans="1:24" ht="15.75">
      <c r="A13" s="97" t="s">
        <v>17</v>
      </c>
      <c r="B13" s="12" t="s">
        <v>18</v>
      </c>
      <c r="C13" s="13"/>
      <c r="D13" s="13"/>
      <c r="E13" s="118">
        <f>IF(E12="I",90,IF(E12="II",91,92))</f>
        <v>91</v>
      </c>
      <c r="F13" s="102">
        <f>IF(OR(F12=1,F12=3,F12=5,F12=7,F12=8,F12=10,F12=12),31,IF(F12=2,28,30))</f>
        <v>30</v>
      </c>
      <c r="G13" s="13"/>
      <c r="H13" s="14"/>
      <c r="I13" s="14"/>
      <c r="J13" s="13"/>
      <c r="K13" s="14"/>
      <c r="L13" s="14"/>
      <c r="M13" s="8"/>
      <c r="N13" s="8"/>
      <c r="O13" s="8"/>
      <c r="P13" s="82"/>
      <c r="X13" s="15"/>
    </row>
    <row r="14" spans="1:24" s="7" customFormat="1" ht="15.75">
      <c r="A14" s="97">
        <v>1</v>
      </c>
      <c r="B14" s="57" t="s">
        <v>46</v>
      </c>
      <c r="C14" s="12" t="s">
        <v>21</v>
      </c>
      <c r="D14" s="58">
        <v>6068739000</v>
      </c>
      <c r="E14" s="58">
        <f>D14/365*$E$13</f>
        <v>1513028079.4520547</v>
      </c>
      <c r="F14" s="58">
        <f>D14/365*$F$13</f>
        <v>498800465.75342464</v>
      </c>
      <c r="G14" s="58">
        <f>612304750/1.1</f>
        <v>556640681.81818175</v>
      </c>
      <c r="H14" s="59">
        <f>G14/F14</f>
        <v>1.1159586248128117</v>
      </c>
      <c r="I14" s="59">
        <f>G14/Q14</f>
        <v>1.200408449382699</v>
      </c>
      <c r="J14" s="58">
        <f>G14+'T03'!J14</f>
        <v>2161215454.545454</v>
      </c>
      <c r="K14" s="59">
        <f>J14/D14</f>
        <v>0.35612265654289205</v>
      </c>
      <c r="L14" s="59">
        <f>J14/SUM(N14:Q14)</f>
        <v>1.1320868446195742</v>
      </c>
      <c r="M14" s="16"/>
      <c r="N14" s="86">
        <v>526247455</v>
      </c>
      <c r="O14" s="87">
        <v>447279127</v>
      </c>
      <c r="P14" s="77">
        <v>471818491</v>
      </c>
      <c r="Q14" s="77">
        <v>463709400</v>
      </c>
      <c r="X14" s="17"/>
    </row>
    <row r="15" spans="1:24" s="7" customFormat="1" ht="15.75">
      <c r="A15" s="97">
        <v>2</v>
      </c>
      <c r="B15" s="57" t="s">
        <v>47</v>
      </c>
      <c r="C15" s="12" t="s">
        <v>23</v>
      </c>
      <c r="D15" s="60">
        <v>86570</v>
      </c>
      <c r="E15" s="60">
        <f>D15/365*$E$13</f>
        <v>21583.205479452055</v>
      </c>
      <c r="F15" s="60">
        <f>D15/365*$F$13</f>
        <v>7115.3424657534242</v>
      </c>
      <c r="G15" s="58">
        <v>7759</v>
      </c>
      <c r="H15" s="73">
        <f>G15/F15</f>
        <v>1.0904605136498402</v>
      </c>
      <c r="I15" s="73">
        <f>G15/Q15</f>
        <v>1.1454089164452317</v>
      </c>
      <c r="J15" s="60">
        <f>G15+'T03'!J15</f>
        <v>29575</v>
      </c>
      <c r="K15" s="73">
        <f>J15/D15</f>
        <v>0.34163105001732702</v>
      </c>
      <c r="L15" s="73">
        <f>J15/SUM(N15:Q15)</f>
        <v>1.0752590438102163</v>
      </c>
      <c r="N15" s="88">
        <v>7436</v>
      </c>
      <c r="O15" s="89">
        <v>6411</v>
      </c>
      <c r="P15" s="85">
        <v>6884</v>
      </c>
      <c r="Q15" s="85">
        <v>6774</v>
      </c>
      <c r="X15" s="17"/>
    </row>
    <row r="16" spans="1:24" s="7" customFormat="1" ht="15.75">
      <c r="A16" s="97">
        <v>3</v>
      </c>
      <c r="B16" s="57" t="s">
        <v>33</v>
      </c>
      <c r="C16" s="12" t="s">
        <v>23</v>
      </c>
      <c r="D16" s="60">
        <v>1512872</v>
      </c>
      <c r="E16" s="60">
        <f>D16/365*$E$13</f>
        <v>377181.7863013699</v>
      </c>
      <c r="F16" s="60">
        <f>D16/365*$F$13</f>
        <v>124345.64383561644</v>
      </c>
      <c r="G16" s="58">
        <v>143547</v>
      </c>
      <c r="H16" s="73">
        <f t="shared" ref="H16:H32" si="0">G16/F16</f>
        <v>1.1544192106139846</v>
      </c>
      <c r="I16" s="73">
        <f t="shared" ref="I16:I32" si="1">G16/Q16</f>
        <v>1.2263628674680267</v>
      </c>
      <c r="J16" s="60">
        <f>G16+'T03'!J16</f>
        <v>549849</v>
      </c>
      <c r="K16" s="73">
        <f t="shared" ref="K16:K32" si="2">J16/D16</f>
        <v>0.3634471389516099</v>
      </c>
      <c r="L16" s="73">
        <f t="shared" ref="L16:L34" si="3">J16/SUM(N16:Q16)</f>
        <v>1.1512510207072717</v>
      </c>
      <c r="M16" s="16"/>
      <c r="N16" s="89">
        <v>130916</v>
      </c>
      <c r="O16" s="89">
        <v>111618</v>
      </c>
      <c r="P16" s="85">
        <v>118025</v>
      </c>
      <c r="Q16" s="85">
        <v>117051</v>
      </c>
      <c r="R16" s="16"/>
      <c r="S16" s="16"/>
      <c r="T16" s="16"/>
      <c r="U16" s="16"/>
      <c r="X16" s="18"/>
    </row>
    <row r="17" spans="1:24" s="7" customFormat="1" ht="15.75">
      <c r="A17" s="97" t="s">
        <v>24</v>
      </c>
      <c r="B17" s="38" t="s">
        <v>49</v>
      </c>
      <c r="C17" s="12"/>
      <c r="D17" s="58"/>
      <c r="E17" s="58">
        <f>D17/365*91</f>
        <v>0</v>
      </c>
      <c r="F17" s="58"/>
      <c r="G17" s="58"/>
      <c r="H17" s="59"/>
      <c r="I17" s="59"/>
      <c r="J17" s="58"/>
      <c r="K17" s="59"/>
      <c r="L17" s="59"/>
      <c r="N17" s="88"/>
      <c r="O17" s="83"/>
      <c r="P17" s="83"/>
      <c r="Q17" s="85"/>
    </row>
    <row r="18" spans="1:24" s="7" customFormat="1" ht="15.75">
      <c r="A18" s="97" t="s">
        <v>19</v>
      </c>
      <c r="B18" s="12" t="s">
        <v>20</v>
      </c>
      <c r="C18" s="12" t="s">
        <v>21</v>
      </c>
      <c r="D18" s="58">
        <v>1603354000</v>
      </c>
      <c r="E18" s="58">
        <f>D18/365*$E$13</f>
        <v>399740312.32876706</v>
      </c>
      <c r="F18" s="58">
        <f>D18/365*$F$13</f>
        <v>131782520.54794519</v>
      </c>
      <c r="G18" s="58">
        <f>164614720/1.1</f>
        <v>149649745.45454544</v>
      </c>
      <c r="H18" s="59">
        <f t="shared" si="0"/>
        <v>1.1355811440873131</v>
      </c>
      <c r="I18" s="59">
        <f t="shared" si="1"/>
        <v>1.1856750987566074</v>
      </c>
      <c r="J18" s="58">
        <f>G18+'T03'!J18</f>
        <v>553543018.18181813</v>
      </c>
      <c r="K18" s="59">
        <f>J18/D18</f>
        <v>0.34524067559741523</v>
      </c>
      <c r="L18" s="59">
        <f t="shared" si="3"/>
        <v>1.0954406651761457</v>
      </c>
      <c r="M18" s="20"/>
      <c r="N18" s="90">
        <v>118407673</v>
      </c>
      <c r="O18" s="87">
        <v>128732436</v>
      </c>
      <c r="P18" s="84">
        <v>131960473</v>
      </c>
      <c r="Q18" s="77">
        <v>126214800</v>
      </c>
      <c r="R18" s="20"/>
      <c r="S18" s="20"/>
      <c r="T18" s="21"/>
      <c r="U18" s="16"/>
      <c r="V18" s="22"/>
      <c r="W18" s="22"/>
      <c r="X18" s="23"/>
    </row>
    <row r="19" spans="1:24" s="7" customFormat="1" ht="15.75">
      <c r="A19" s="97" t="s">
        <v>22</v>
      </c>
      <c r="B19" s="12" t="s">
        <v>25</v>
      </c>
      <c r="C19" s="12" t="s">
        <v>23</v>
      </c>
      <c r="D19" s="58">
        <f>SUM(D20:D23)</f>
        <v>89048</v>
      </c>
      <c r="E19" s="58">
        <f>D19/365*$E$13</f>
        <v>22201.008219178082</v>
      </c>
      <c r="F19" s="58">
        <f>D19/365*$F$13</f>
        <v>7319.0136986301368</v>
      </c>
      <c r="G19" s="58">
        <f>SUM(G20:G23)</f>
        <v>7999</v>
      </c>
      <c r="H19" s="59">
        <f t="shared" si="0"/>
        <v>1.0929068217889977</v>
      </c>
      <c r="I19" s="59">
        <f t="shared" si="1"/>
        <v>1.1263024500140806</v>
      </c>
      <c r="J19" s="58">
        <f>SUM(J20:J23)</f>
        <v>31061</v>
      </c>
      <c r="K19" s="59">
        <f t="shared" si="2"/>
        <v>0.34881187674063424</v>
      </c>
      <c r="L19" s="59">
        <f t="shared" si="3"/>
        <v>1.0946222159571468</v>
      </c>
      <c r="N19" s="90">
        <f>SUM(N20:N23)</f>
        <v>6806</v>
      </c>
      <c r="O19" s="84">
        <f>SUM(O20:O23)</f>
        <v>6970</v>
      </c>
      <c r="P19" s="84">
        <f>SUM(P20:P23)</f>
        <v>7498</v>
      </c>
      <c r="Q19" s="85">
        <f>SUM(Q20:Q23)</f>
        <v>7102</v>
      </c>
      <c r="V19" s="17"/>
      <c r="W19" s="17"/>
      <c r="X19" s="18"/>
    </row>
    <row r="20" spans="1:24">
      <c r="A20" s="19">
        <v>1</v>
      </c>
      <c r="B20" s="13" t="s">
        <v>26</v>
      </c>
      <c r="C20" s="13" t="s">
        <v>23</v>
      </c>
      <c r="D20" s="60">
        <v>17697</v>
      </c>
      <c r="E20" s="60">
        <f>D20/365*$E$13</f>
        <v>4412.1287671232876</v>
      </c>
      <c r="F20" s="60">
        <f>D20/365*$F$13</f>
        <v>1454.5479452054794</v>
      </c>
      <c r="G20" s="60">
        <v>1258</v>
      </c>
      <c r="H20" s="73">
        <f t="shared" si="0"/>
        <v>0.86487351905219345</v>
      </c>
      <c r="I20" s="73">
        <f t="shared" si="1"/>
        <v>1.010441767068273</v>
      </c>
      <c r="J20" s="60">
        <f>G20+'T03'!J20</f>
        <v>4809</v>
      </c>
      <c r="K20" s="73">
        <f t="shared" si="2"/>
        <v>0.27174097304627903</v>
      </c>
      <c r="L20" s="73">
        <f t="shared" si="3"/>
        <v>0.91809851088201599</v>
      </c>
      <c r="N20" s="91">
        <v>1208</v>
      </c>
      <c r="O20" s="89">
        <v>1475</v>
      </c>
      <c r="P20" s="89">
        <v>1310</v>
      </c>
      <c r="Q20" s="85">
        <v>1245</v>
      </c>
      <c r="V20" s="15"/>
      <c r="W20" s="15"/>
      <c r="X20" s="11"/>
    </row>
    <row r="21" spans="1:24">
      <c r="A21" s="19">
        <v>2</v>
      </c>
      <c r="B21" s="13" t="s">
        <v>27</v>
      </c>
      <c r="C21" s="13" t="s">
        <v>23</v>
      </c>
      <c r="D21" s="60">
        <v>14500</v>
      </c>
      <c r="E21" s="60">
        <f t="shared" ref="E21:E23" si="4">D21/365*$E$13</f>
        <v>3615.0684931506848</v>
      </c>
      <c r="F21" s="60">
        <f t="shared" ref="F21:F32" si="5">D21/365*$F$13</f>
        <v>1191.7808219178082</v>
      </c>
      <c r="G21" s="60">
        <f>570+660</f>
        <v>1230</v>
      </c>
      <c r="H21" s="73">
        <f t="shared" si="0"/>
        <v>1.0320689655172415</v>
      </c>
      <c r="I21" s="73">
        <f t="shared" si="1"/>
        <v>1.0249999999999999</v>
      </c>
      <c r="J21" s="60">
        <f>G21+'T03'!J21</f>
        <v>4920</v>
      </c>
      <c r="K21" s="73">
        <f t="shared" si="2"/>
        <v>0.33931034482758621</v>
      </c>
      <c r="L21" s="73">
        <f t="shared" si="3"/>
        <v>1.0351357037660425</v>
      </c>
      <c r="N21" s="91">
        <f>527+686</f>
        <v>1213</v>
      </c>
      <c r="O21" s="89">
        <f>493+638</f>
        <v>1131</v>
      </c>
      <c r="P21" s="89">
        <f>527+682</f>
        <v>1209</v>
      </c>
      <c r="Q21" s="85">
        <f>540+660</f>
        <v>1200</v>
      </c>
      <c r="V21" s="15"/>
      <c r="W21" s="15"/>
      <c r="X21" s="11"/>
    </row>
    <row r="22" spans="1:24">
      <c r="A22" s="19">
        <v>3</v>
      </c>
      <c r="B22" s="13" t="s">
        <v>28</v>
      </c>
      <c r="C22" s="13" t="s">
        <v>23</v>
      </c>
      <c r="D22" s="60">
        <v>17043</v>
      </c>
      <c r="E22" s="60">
        <f t="shared" si="4"/>
        <v>4249.0767123287678</v>
      </c>
      <c r="F22" s="60">
        <f t="shared" si="5"/>
        <v>1400.7945205479452</v>
      </c>
      <c r="G22" s="60">
        <v>1697</v>
      </c>
      <c r="H22" s="73">
        <f t="shared" si="0"/>
        <v>1.2114553384576268</v>
      </c>
      <c r="I22" s="73">
        <f t="shared" si="1"/>
        <v>1.1784722222222221</v>
      </c>
      <c r="J22" s="60">
        <f>G22+'T03'!J22</f>
        <v>6324</v>
      </c>
      <c r="K22" s="73">
        <f t="shared" si="2"/>
        <v>0.37106143284632986</v>
      </c>
      <c r="L22" s="73">
        <f t="shared" si="3"/>
        <v>1.184047931099045</v>
      </c>
      <c r="N22" s="91">
        <v>1184</v>
      </c>
      <c r="O22" s="89">
        <v>1272</v>
      </c>
      <c r="P22" s="89">
        <v>1445</v>
      </c>
      <c r="Q22" s="85">
        <v>1440</v>
      </c>
      <c r="V22" s="15"/>
      <c r="W22" s="15"/>
      <c r="X22" s="11"/>
    </row>
    <row r="23" spans="1:24">
      <c r="A23" s="19">
        <v>4</v>
      </c>
      <c r="B23" s="13" t="s">
        <v>29</v>
      </c>
      <c r="C23" s="13" t="s">
        <v>23</v>
      </c>
      <c r="D23" s="60">
        <v>39808</v>
      </c>
      <c r="E23" s="60">
        <f t="shared" si="4"/>
        <v>9924.7342465753427</v>
      </c>
      <c r="F23" s="60">
        <f t="shared" si="5"/>
        <v>3271.8904109589043</v>
      </c>
      <c r="G23" s="60">
        <v>3814</v>
      </c>
      <c r="H23" s="73">
        <f t="shared" si="0"/>
        <v>1.1656869640943193</v>
      </c>
      <c r="I23" s="73">
        <f t="shared" si="1"/>
        <v>1.1855766241840224</v>
      </c>
      <c r="J23" s="60">
        <f>G23+'T03'!J23</f>
        <v>15008</v>
      </c>
      <c r="K23" s="73">
        <f t="shared" si="2"/>
        <v>0.37700964630225081</v>
      </c>
      <c r="L23" s="73">
        <f t="shared" si="3"/>
        <v>1.1505673106409078</v>
      </c>
      <c r="N23" s="91">
        <v>3201</v>
      </c>
      <c r="O23" s="89">
        <v>3092</v>
      </c>
      <c r="P23" s="89">
        <v>3534</v>
      </c>
      <c r="Q23" s="85">
        <v>3217</v>
      </c>
      <c r="V23" s="15"/>
      <c r="W23" s="15"/>
      <c r="X23" s="11"/>
    </row>
    <row r="24" spans="1:24" s="25" customFormat="1" ht="15.75">
      <c r="A24" s="97" t="s">
        <v>30</v>
      </c>
      <c r="B24" s="12" t="s">
        <v>31</v>
      </c>
      <c r="C24" s="13"/>
      <c r="D24" s="60"/>
      <c r="E24" s="58"/>
      <c r="F24" s="58"/>
      <c r="G24" s="60"/>
      <c r="H24" s="59"/>
      <c r="I24" s="59"/>
      <c r="J24" s="58"/>
      <c r="K24" s="59"/>
      <c r="L24" s="59"/>
      <c r="M24" s="24"/>
      <c r="N24" s="91"/>
      <c r="O24" s="92"/>
      <c r="P24" s="92"/>
      <c r="Q24" s="98"/>
    </row>
    <row r="25" spans="1:24" s="26" customFormat="1" ht="15.75">
      <c r="A25" s="19">
        <v>1</v>
      </c>
      <c r="B25" s="13" t="s">
        <v>46</v>
      </c>
      <c r="C25" s="12" t="s">
        <v>21</v>
      </c>
      <c r="D25" s="58">
        <v>2748144000</v>
      </c>
      <c r="E25" s="58">
        <f>D25/365*$E$13</f>
        <v>685153709.58904111</v>
      </c>
      <c r="F25" s="58">
        <f t="shared" si="5"/>
        <v>225874849.31506848</v>
      </c>
      <c r="G25" s="58">
        <f>255326750/1.1</f>
        <v>232115227.27272725</v>
      </c>
      <c r="H25" s="59">
        <f t="shared" si="0"/>
        <v>1.0276275910159178</v>
      </c>
      <c r="I25" s="59">
        <f t="shared" si="1"/>
        <v>1.0301248036272113</v>
      </c>
      <c r="J25" s="58">
        <f>G25+'T03'!J25</f>
        <v>936797840.90909088</v>
      </c>
      <c r="K25" s="59">
        <f t="shared" si="2"/>
        <v>0.34088382592363825</v>
      </c>
      <c r="L25" s="59">
        <f t="shared" si="3"/>
        <v>1.0307847319521926</v>
      </c>
      <c r="M25" s="39"/>
      <c r="N25" s="93">
        <v>232838197</v>
      </c>
      <c r="O25" s="87">
        <v>217816378</v>
      </c>
      <c r="P25" s="94">
        <v>232838197</v>
      </c>
      <c r="Q25" s="94">
        <v>225327287</v>
      </c>
      <c r="R25" s="40"/>
      <c r="S25" s="40"/>
      <c r="T25" s="40"/>
      <c r="U25" s="40"/>
      <c r="V25" s="40"/>
      <c r="W25" s="40"/>
      <c r="X25" s="41"/>
    </row>
    <row r="26" spans="1:24" s="25" customFormat="1">
      <c r="A26" s="19">
        <v>2</v>
      </c>
      <c r="B26" s="13" t="s">
        <v>32</v>
      </c>
      <c r="C26" s="13" t="s">
        <v>23</v>
      </c>
      <c r="D26" s="60">
        <v>557921</v>
      </c>
      <c r="E26" s="60">
        <f>D26/365*$E$13</f>
        <v>139098.11232876711</v>
      </c>
      <c r="F26" s="60">
        <f t="shared" si="5"/>
        <v>45856.520547945205</v>
      </c>
      <c r="G26" s="60">
        <f>F26</f>
        <v>45856.520547945205</v>
      </c>
      <c r="H26" s="73">
        <f t="shared" si="0"/>
        <v>1</v>
      </c>
      <c r="I26" s="73">
        <f t="shared" si="1"/>
        <v>1.0343420523288043</v>
      </c>
      <c r="J26" s="60">
        <f>G26+'T03'!J26</f>
        <v>183426.08219178082</v>
      </c>
      <c r="K26" s="73">
        <f t="shared" si="2"/>
        <v>0.32876712328767121</v>
      </c>
      <c r="L26" s="73">
        <f t="shared" si="3"/>
        <v>1.0257926235741095</v>
      </c>
      <c r="M26" s="42"/>
      <c r="N26" s="56">
        <v>45812</v>
      </c>
      <c r="O26" s="83">
        <v>42856</v>
      </c>
      <c r="P26" s="83">
        <v>45812</v>
      </c>
      <c r="Q26" s="83">
        <v>44334</v>
      </c>
      <c r="R26" s="42"/>
      <c r="S26" s="42"/>
      <c r="T26" s="42"/>
      <c r="U26" s="42"/>
      <c r="V26" s="42"/>
      <c r="W26" s="42"/>
      <c r="X26" s="43"/>
    </row>
    <row r="27" spans="1:24" s="25" customFormat="1">
      <c r="A27" s="19">
        <v>3</v>
      </c>
      <c r="B27" s="13" t="s">
        <v>33</v>
      </c>
      <c r="C27" s="13" t="s">
        <v>23</v>
      </c>
      <c r="D27" s="60">
        <v>17309331</v>
      </c>
      <c r="E27" s="60">
        <f>D27/365*$E$13</f>
        <v>4315477.0438356167</v>
      </c>
      <c r="F27" s="60">
        <f t="shared" si="5"/>
        <v>1422684.7397260275</v>
      </c>
      <c r="G27" s="60">
        <f>F27</f>
        <v>1422684.7397260275</v>
      </c>
      <c r="H27" s="73">
        <f t="shared" si="0"/>
        <v>1</v>
      </c>
      <c r="I27" s="73">
        <f t="shared" si="1"/>
        <v>1.0422033821800338</v>
      </c>
      <c r="J27" s="60">
        <f>G27+'T03'!J27</f>
        <v>5690738.9589041099</v>
      </c>
      <c r="K27" s="73">
        <f t="shared" si="2"/>
        <v>0.32876712328767127</v>
      </c>
      <c r="L27" s="73">
        <f t="shared" si="3"/>
        <v>1.0335902186938406</v>
      </c>
      <c r="M27" s="42"/>
      <c r="N27" s="56">
        <v>1410576</v>
      </c>
      <c r="O27" s="83">
        <v>1319572</v>
      </c>
      <c r="P27" s="83">
        <v>1410576</v>
      </c>
      <c r="Q27" s="83">
        <v>1365074</v>
      </c>
      <c r="R27" s="42"/>
      <c r="S27" s="42"/>
      <c r="T27" s="42"/>
      <c r="U27" s="42"/>
      <c r="V27" s="42"/>
      <c r="W27" s="42"/>
      <c r="X27" s="43"/>
    </row>
    <row r="28" spans="1:24" s="26" customFormat="1" ht="15.75">
      <c r="A28" s="97" t="s">
        <v>34</v>
      </c>
      <c r="B28" s="12" t="s">
        <v>35</v>
      </c>
      <c r="C28" s="12"/>
      <c r="D28" s="58">
        <f>SUM(D29:D32)</f>
        <v>2875862000</v>
      </c>
      <c r="E28" s="58">
        <f>SUM(E29:E32)</f>
        <v>716995731.50684929</v>
      </c>
      <c r="F28" s="58">
        <f>SUM(F29:F32)</f>
        <v>236372219.1780822</v>
      </c>
      <c r="G28" s="58">
        <f>SUM(G29:G33)</f>
        <v>266275272.72727269</v>
      </c>
      <c r="H28" s="59">
        <f t="shared" si="0"/>
        <v>1.1265083251033896</v>
      </c>
      <c r="I28" s="59">
        <f t="shared" si="1"/>
        <v>1.2216494753150955</v>
      </c>
      <c r="J28" s="58">
        <f>SUM(J29:J33)</f>
        <v>1049550909.090909</v>
      </c>
      <c r="K28" s="59">
        <f t="shared" si="2"/>
        <v>0.36495176371150945</v>
      </c>
      <c r="L28" s="59">
        <f t="shared" si="3"/>
        <v>1.2315135292751844</v>
      </c>
      <c r="M28" s="44"/>
      <c r="N28" s="93">
        <f>SUM(N29:N33)</f>
        <v>208134727</v>
      </c>
      <c r="O28" s="94">
        <f>SUM(O29:O33)</f>
        <v>212788817</v>
      </c>
      <c r="P28" s="94">
        <f>SUM(P29:P33)</f>
        <v>213357454</v>
      </c>
      <c r="Q28" s="84">
        <f>SUM(Q29:Q33)</f>
        <v>217963727</v>
      </c>
      <c r="R28" s="44"/>
      <c r="S28" s="44"/>
      <c r="T28" s="44"/>
      <c r="U28" s="44"/>
      <c r="V28" s="44"/>
      <c r="W28" s="44"/>
      <c r="X28" s="45"/>
    </row>
    <row r="29" spans="1:24" s="25" customFormat="1">
      <c r="A29" s="19">
        <v>1</v>
      </c>
      <c r="B29" s="13" t="s">
        <v>36</v>
      </c>
      <c r="C29" s="13"/>
      <c r="D29" s="60">
        <v>2418778400</v>
      </c>
      <c r="E29" s="60">
        <f>D29/365*$E$13</f>
        <v>603037902.46575344</v>
      </c>
      <c r="F29" s="60">
        <f t="shared" si="5"/>
        <v>198803704.10958904</v>
      </c>
      <c r="G29" s="60">
        <f>230930000/1.1</f>
        <v>209936363.63636363</v>
      </c>
      <c r="H29" s="73">
        <f t="shared" si="0"/>
        <v>1.0559982500156928</v>
      </c>
      <c r="I29" s="73">
        <f t="shared" si="1"/>
        <v>1.1606097338850239</v>
      </c>
      <c r="J29" s="60">
        <f>G29+'T03'!J29</f>
        <v>847532727.27272725</v>
      </c>
      <c r="K29" s="73">
        <f t="shared" si="2"/>
        <v>0.35039701333231982</v>
      </c>
      <c r="L29" s="73">
        <f t="shared" si="3"/>
        <v>1.1960189419459839</v>
      </c>
      <c r="M29" s="46"/>
      <c r="N29" s="91">
        <v>175460000</v>
      </c>
      <c r="O29" s="83">
        <v>176823636</v>
      </c>
      <c r="P29" s="89">
        <v>175460000</v>
      </c>
      <c r="Q29" s="89">
        <v>180884545</v>
      </c>
      <c r="R29" s="47"/>
      <c r="S29" s="47"/>
      <c r="T29" s="47"/>
      <c r="U29" s="47"/>
      <c r="V29" s="47"/>
      <c r="W29" s="47"/>
      <c r="X29" s="48"/>
    </row>
    <row r="30" spans="1:24" s="25" customFormat="1">
      <c r="A30" s="19">
        <v>2</v>
      </c>
      <c r="B30" s="13" t="s">
        <v>37</v>
      </c>
      <c r="C30" s="13"/>
      <c r="D30" s="60">
        <v>320442873</v>
      </c>
      <c r="E30" s="60">
        <f>D30/365*$E$13</f>
        <v>79891236.830136985</v>
      </c>
      <c r="F30" s="60">
        <f t="shared" si="5"/>
        <v>26337770.383561645</v>
      </c>
      <c r="G30" s="60">
        <f>39876000/1.1</f>
        <v>36250909.090909086</v>
      </c>
      <c r="H30" s="73">
        <f t="shared" si="0"/>
        <v>1.3763848861532557</v>
      </c>
      <c r="I30" s="73">
        <f t="shared" si="1"/>
        <v>1.4045741198194148</v>
      </c>
      <c r="J30" s="60">
        <f>G30+'T03'!J30</f>
        <v>120630727.27272725</v>
      </c>
      <c r="K30" s="73">
        <f t="shared" si="2"/>
        <v>0.3764500241287228</v>
      </c>
      <c r="L30" s="73">
        <f t="shared" si="3"/>
        <v>1.228359669941016</v>
      </c>
      <c r="M30" s="46"/>
      <c r="N30" s="91">
        <v>21278364</v>
      </c>
      <c r="O30" s="83">
        <v>24557909</v>
      </c>
      <c r="P30" s="89">
        <v>26559273</v>
      </c>
      <c r="Q30" s="89">
        <v>25809182</v>
      </c>
      <c r="R30" s="47"/>
      <c r="S30" s="47"/>
      <c r="T30" s="47"/>
      <c r="U30" s="47"/>
      <c r="V30" s="47"/>
      <c r="W30" s="47"/>
      <c r="X30" s="48"/>
    </row>
    <row r="31" spans="1:24" s="25" customFormat="1">
      <c r="A31" s="19">
        <v>3</v>
      </c>
      <c r="B31" s="13" t="s">
        <v>38</v>
      </c>
      <c r="C31" s="13"/>
      <c r="D31" s="60">
        <v>11186182</v>
      </c>
      <c r="E31" s="60">
        <f>D31/365*$E$13</f>
        <v>2788883.7315068492</v>
      </c>
      <c r="F31" s="60">
        <f t="shared" si="5"/>
        <v>919412.21917808219</v>
      </c>
      <c r="G31" s="60">
        <f>888000/1.1</f>
        <v>807272.72727272718</v>
      </c>
      <c r="H31" s="73">
        <f t="shared" si="0"/>
        <v>0.87803132309291776</v>
      </c>
      <c r="I31" s="73">
        <f t="shared" si="1"/>
        <v>0.98996600336343166</v>
      </c>
      <c r="J31" s="60">
        <f>G31+'T03'!J31</f>
        <v>3100909.0909090908</v>
      </c>
      <c r="K31" s="73">
        <f t="shared" si="2"/>
        <v>0.27720888958440787</v>
      </c>
      <c r="L31" s="73">
        <f t="shared" si="3"/>
        <v>0.86288903241983628</v>
      </c>
      <c r="M31" s="46"/>
      <c r="N31" s="95">
        <v>941818</v>
      </c>
      <c r="O31" s="83">
        <v>952727</v>
      </c>
      <c r="P31" s="96">
        <v>883636</v>
      </c>
      <c r="Q31" s="96">
        <v>815455</v>
      </c>
      <c r="R31" s="50"/>
      <c r="S31" s="50"/>
      <c r="T31" s="50"/>
      <c r="U31" s="50"/>
      <c r="V31" s="50"/>
      <c r="W31" s="50"/>
      <c r="X31" s="51"/>
    </row>
    <row r="32" spans="1:24" s="25" customFormat="1">
      <c r="A32" s="19">
        <v>4</v>
      </c>
      <c r="B32" s="13" t="s">
        <v>39</v>
      </c>
      <c r="C32" s="13"/>
      <c r="D32" s="60">
        <v>125454545</v>
      </c>
      <c r="E32" s="60">
        <f>D32/365*$E$13</f>
        <v>31277708.479452059</v>
      </c>
      <c r="F32" s="60">
        <f t="shared" si="5"/>
        <v>10311332.465753425</v>
      </c>
      <c r="G32" s="60">
        <f>12700000/1.1</f>
        <v>11545454.545454545</v>
      </c>
      <c r="H32" s="73">
        <f t="shared" si="0"/>
        <v>1.1196859943949975</v>
      </c>
      <c r="I32" s="73">
        <f t="shared" si="1"/>
        <v>1.1043478741020814</v>
      </c>
      <c r="J32" s="60">
        <f>G32+'T03'!J32</f>
        <v>46181818.18181818</v>
      </c>
      <c r="K32" s="73">
        <f t="shared" si="2"/>
        <v>0.3681159433627389</v>
      </c>
      <c r="L32" s="73">
        <f t="shared" si="3"/>
        <v>1.1043478741020814</v>
      </c>
      <c r="M32" s="46"/>
      <c r="N32" s="91">
        <v>10454545</v>
      </c>
      <c r="O32" s="83">
        <v>10454545</v>
      </c>
      <c r="P32" s="83">
        <v>10454545</v>
      </c>
      <c r="Q32" s="83">
        <v>10454545</v>
      </c>
      <c r="R32" s="52"/>
      <c r="S32" s="52"/>
      <c r="T32" s="52"/>
      <c r="U32" s="52"/>
      <c r="V32" s="52"/>
      <c r="W32" s="52"/>
      <c r="X32" s="9"/>
    </row>
    <row r="33" spans="1:24" s="25" customFormat="1">
      <c r="A33" s="19">
        <v>5</v>
      </c>
      <c r="B33" s="27" t="s">
        <v>40</v>
      </c>
      <c r="C33" s="13"/>
      <c r="D33" s="60"/>
      <c r="E33" s="60"/>
      <c r="F33" s="58"/>
      <c r="G33" s="60">
        <f>8508800/1.1</f>
        <v>7735272.7272727266</v>
      </c>
      <c r="H33" s="61"/>
      <c r="I33" s="59"/>
      <c r="J33" s="60">
        <f>G33+'T03'!J33</f>
        <v>32104727.27272727</v>
      </c>
      <c r="K33" s="59"/>
      <c r="L33" s="59"/>
      <c r="M33" s="53"/>
      <c r="N33" s="55"/>
      <c r="O33" s="24"/>
      <c r="P33" s="92"/>
      <c r="Q33" s="54"/>
      <c r="R33" s="54"/>
      <c r="S33" s="54"/>
      <c r="T33" s="54"/>
      <c r="U33" s="54"/>
      <c r="V33" s="54"/>
      <c r="W33" s="54"/>
      <c r="X33" s="55"/>
    </row>
    <row r="34" spans="1:24" ht="15.75">
      <c r="A34" s="110" t="s">
        <v>41</v>
      </c>
      <c r="B34" s="110"/>
      <c r="C34" s="12"/>
      <c r="D34" s="58">
        <f>D14+D18+D25+D28</f>
        <v>13296099000</v>
      </c>
      <c r="E34" s="58">
        <f>E14+E18+E25+E28</f>
        <v>3314917832.8767123</v>
      </c>
      <c r="F34" s="58">
        <f>F14+F18+F25+F28</f>
        <v>1092830054.7945204</v>
      </c>
      <c r="G34" s="58">
        <f>G14+G18+G25+G28</f>
        <v>1204680927.2727273</v>
      </c>
      <c r="H34" s="59">
        <f>G34/F34</f>
        <v>1.1023497404628368</v>
      </c>
      <c r="I34" s="59">
        <f>G34/Q34</f>
        <v>1.165953530090754</v>
      </c>
      <c r="J34" s="58">
        <f>G34+'T03'!J34</f>
        <v>4701107222.727272</v>
      </c>
      <c r="K34" s="59">
        <f>J34/D34</f>
        <v>0.3535704136023109</v>
      </c>
      <c r="L34" s="59">
        <f t="shared" si="3"/>
        <v>1.1258964941497138</v>
      </c>
      <c r="M34" s="56"/>
      <c r="N34" s="22">
        <f>N14+N18+N25+N28</f>
        <v>1085628052</v>
      </c>
      <c r="O34" s="22">
        <f>O14+O18+O25+O28</f>
        <v>1006616758</v>
      </c>
      <c r="P34" s="22">
        <f>P14+P18+P25+P28</f>
        <v>1049974615</v>
      </c>
      <c r="Q34" s="22">
        <f>Q14+Q18+Q25+Q28+1</f>
        <v>1033215215</v>
      </c>
      <c r="R34" s="56"/>
      <c r="S34" s="56"/>
      <c r="T34" s="56"/>
      <c r="U34" s="56"/>
      <c r="V34" s="56"/>
      <c r="W34" s="56"/>
      <c r="X34" s="56"/>
    </row>
    <row r="35" spans="1:24">
      <c r="J35" s="8"/>
    </row>
    <row r="36" spans="1:24" s="1" customFormat="1" ht="17.25">
      <c r="A36" s="28"/>
      <c r="B36" s="28"/>
      <c r="C36" s="28"/>
      <c r="D36" s="22"/>
      <c r="E36" s="22"/>
      <c r="F36" s="29">
        <f>D16/365</f>
        <v>4144.8547945205482</v>
      </c>
      <c r="G36" s="29"/>
      <c r="H36" s="105" t="s">
        <v>69</v>
      </c>
      <c r="I36" s="105"/>
      <c r="J36" s="105"/>
      <c r="K36" s="105"/>
      <c r="L36" s="105"/>
    </row>
    <row r="37" spans="1:24" s="1" customFormat="1" ht="17.25">
      <c r="A37" s="28"/>
      <c r="B37" s="30" t="s">
        <v>42</v>
      </c>
      <c r="C37" s="28"/>
      <c r="D37" s="22"/>
      <c r="E37" s="22"/>
      <c r="F37" s="28"/>
      <c r="G37" s="29"/>
      <c r="H37" s="106" t="s">
        <v>43</v>
      </c>
      <c r="I37" s="106"/>
      <c r="J37" s="106"/>
      <c r="K37" s="106"/>
      <c r="L37" s="106"/>
      <c r="M37" s="1" t="s">
        <v>6</v>
      </c>
      <c r="P37" s="1" t="s">
        <v>55</v>
      </c>
      <c r="Q37" s="28"/>
      <c r="R37" s="28"/>
      <c r="S37" s="29" t="s">
        <v>56</v>
      </c>
    </row>
    <row r="38" spans="1:24" s="1" customFormat="1" ht="17.25">
      <c r="A38" s="28"/>
      <c r="B38" s="31" t="s">
        <v>44</v>
      </c>
      <c r="C38" s="32"/>
      <c r="D38" s="22"/>
      <c r="E38" s="22">
        <f>D27/365</f>
        <v>47422.824657534249</v>
      </c>
      <c r="F38" s="29">
        <f>G27/30</f>
        <v>47422.824657534249</v>
      </c>
      <c r="G38" s="1">
        <f>30+31+30</f>
        <v>91</v>
      </c>
      <c r="H38" s="28"/>
      <c r="I38" s="28"/>
      <c r="J38" s="28"/>
      <c r="K38" s="28"/>
      <c r="L38" s="33"/>
      <c r="M38" s="107"/>
      <c r="N38" s="107"/>
      <c r="P38" s="8" t="s">
        <v>57</v>
      </c>
      <c r="Q38" s="36"/>
      <c r="R38" s="35"/>
      <c r="S38" s="36" t="s">
        <v>58</v>
      </c>
    </row>
    <row r="39" spans="1:24" s="1" customFormat="1" ht="17.25">
      <c r="A39" s="28"/>
      <c r="B39" s="34" t="s">
        <v>45</v>
      </c>
      <c r="C39" s="28"/>
      <c r="D39" s="22"/>
      <c r="E39" s="22"/>
      <c r="F39" s="28"/>
      <c r="G39" s="1">
        <f>86570/365</f>
        <v>237.17808219178082</v>
      </c>
      <c r="K39" s="28"/>
      <c r="L39" s="33"/>
      <c r="N39" s="28"/>
    </row>
    <row r="40" spans="1:24" customFormat="1" ht="15">
      <c r="A40" s="35"/>
      <c r="C40" s="35"/>
      <c r="D40" s="35"/>
      <c r="E40" s="35"/>
      <c r="F40" s="36"/>
      <c r="G40" s="6"/>
      <c r="H40" s="6"/>
      <c r="I40" s="6"/>
      <c r="J40" s="6"/>
      <c r="K40" s="35"/>
      <c r="L40" s="37"/>
      <c r="M40" s="108"/>
      <c r="N40" s="108"/>
    </row>
    <row r="41" spans="1:24" customFormat="1" ht="15">
      <c r="B41" s="6"/>
      <c r="J41" t="s">
        <v>6</v>
      </c>
    </row>
  </sheetData>
  <mergeCells count="24">
    <mergeCell ref="A34:B34"/>
    <mergeCell ref="H36:L36"/>
    <mergeCell ref="H37:L37"/>
    <mergeCell ref="M38:N38"/>
    <mergeCell ref="M40:N40"/>
    <mergeCell ref="K11:L11"/>
    <mergeCell ref="A5:L5"/>
    <mergeCell ref="A6:L6"/>
    <mergeCell ref="A8:L8"/>
    <mergeCell ref="A10:A12"/>
    <mergeCell ref="B10:B12"/>
    <mergeCell ref="C10:C12"/>
    <mergeCell ref="D10:F10"/>
    <mergeCell ref="G10:I10"/>
    <mergeCell ref="J10:L10"/>
    <mergeCell ref="G11:G12"/>
    <mergeCell ref="H11:I11"/>
    <mergeCell ref="J11:J12"/>
    <mergeCell ref="A4:C4"/>
    <mergeCell ref="A1:C1"/>
    <mergeCell ref="G1:L1"/>
    <mergeCell ref="A2:C2"/>
    <mergeCell ref="G2:L2"/>
    <mergeCell ref="A3:C3"/>
  </mergeCells>
  <pageMargins left="0.2" right="0.2" top="1" bottom="1" header="0.3" footer="0.3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1"/>
  <sheetViews>
    <sheetView tabSelected="1" topLeftCell="A25" workbookViewId="0">
      <selection activeCell="F34" sqref="F34"/>
    </sheetView>
  </sheetViews>
  <sheetFormatPr defaultRowHeight="14.25"/>
  <cols>
    <col min="1" max="1" width="4.140625" style="6" customWidth="1"/>
    <col min="2" max="2" width="26.140625" style="6" customWidth="1"/>
    <col min="3" max="3" width="6.28515625" style="6" customWidth="1"/>
    <col min="4" max="4" width="13.42578125" style="6" bestFit="1" customWidth="1"/>
    <col min="5" max="6" width="12.28515625" style="6" bestFit="1" customWidth="1"/>
    <col min="7" max="7" width="15.7109375" style="6" customWidth="1"/>
    <col min="8" max="8" width="7.42578125" style="6" customWidth="1"/>
    <col min="9" max="9" width="7.5703125" style="6" customWidth="1"/>
    <col min="10" max="10" width="12.28515625" style="6" customWidth="1"/>
    <col min="11" max="11" width="6.85546875" style="6" customWidth="1"/>
    <col min="12" max="12" width="7.5703125" style="6" bestFit="1" customWidth="1"/>
    <col min="13" max="13" width="11" style="6" bestFit="1" customWidth="1"/>
    <col min="14" max="18" width="10.85546875" style="6" bestFit="1" customWidth="1"/>
    <col min="19" max="20" width="11.140625" style="6" bestFit="1" customWidth="1"/>
    <col min="21" max="23" width="10.85546875" style="6" bestFit="1" customWidth="1"/>
    <col min="24" max="24" width="12.28515625" style="6" bestFit="1" customWidth="1"/>
    <col min="25" max="16384" width="9.140625" style="6"/>
  </cols>
  <sheetData>
    <row r="1" spans="1:24" s="1" customFormat="1" ht="16.5">
      <c r="A1" s="114" t="s">
        <v>0</v>
      </c>
      <c r="B1" s="114"/>
      <c r="C1" s="114"/>
      <c r="F1" s="2"/>
      <c r="G1" s="115" t="s">
        <v>1</v>
      </c>
      <c r="H1" s="115"/>
      <c r="I1" s="115"/>
      <c r="J1" s="115"/>
      <c r="K1" s="115"/>
      <c r="L1" s="115"/>
    </row>
    <row r="2" spans="1:24" s="1" customFormat="1" ht="16.5">
      <c r="A2" s="116" t="s">
        <v>2</v>
      </c>
      <c r="B2" s="116"/>
      <c r="C2" s="116"/>
      <c r="F2" s="3"/>
      <c r="G2" s="117" t="s">
        <v>3</v>
      </c>
      <c r="H2" s="117"/>
      <c r="I2" s="117"/>
      <c r="J2" s="117"/>
      <c r="K2" s="117"/>
      <c r="L2" s="117"/>
    </row>
    <row r="3" spans="1:24" s="1" customFormat="1" ht="16.5">
      <c r="A3" s="116" t="s">
        <v>4</v>
      </c>
      <c r="B3" s="116"/>
      <c r="C3" s="116"/>
      <c r="D3" s="4"/>
      <c r="E3" s="4"/>
      <c r="F3" s="4"/>
      <c r="G3" s="4"/>
      <c r="H3" s="4"/>
      <c r="I3" s="4"/>
      <c r="J3" s="4"/>
      <c r="K3" s="4"/>
      <c r="L3" s="4"/>
    </row>
    <row r="4" spans="1:24" s="1" customFormat="1" ht="16.5">
      <c r="A4" s="113" t="s">
        <v>5</v>
      </c>
      <c r="B4" s="113"/>
      <c r="C4" s="113"/>
      <c r="D4" s="4"/>
      <c r="E4" s="4"/>
      <c r="F4" s="4"/>
      <c r="G4" s="4"/>
      <c r="H4" s="4"/>
      <c r="I4" s="4"/>
      <c r="J4" s="4"/>
      <c r="K4" s="4"/>
      <c r="L4" s="4"/>
    </row>
    <row r="5" spans="1:24" s="1" customFormat="1" ht="51" customHeight="1">
      <c r="A5" s="111" t="s">
        <v>74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" t="s">
        <v>6</v>
      </c>
    </row>
    <row r="6" spans="1:24" s="1" customFormat="1" ht="18.75" customHeight="1">
      <c r="A6" s="111" t="s">
        <v>5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24" s="1" customFormat="1" ht="9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24" s="5" customFormat="1" ht="19.5">
      <c r="A8" s="112" t="s">
        <v>7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10" spans="1:24" ht="15.75">
      <c r="A10" s="109" t="s">
        <v>8</v>
      </c>
      <c r="B10" s="109" t="s">
        <v>9</v>
      </c>
      <c r="C10" s="109" t="s">
        <v>10</v>
      </c>
      <c r="D10" s="110" t="s">
        <v>11</v>
      </c>
      <c r="E10" s="110"/>
      <c r="F10" s="110"/>
      <c r="G10" s="110" t="s">
        <v>71</v>
      </c>
      <c r="H10" s="110"/>
      <c r="I10" s="110"/>
      <c r="J10" s="110" t="s">
        <v>52</v>
      </c>
      <c r="K10" s="110"/>
      <c r="L10" s="110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>
      <c r="A11" s="109"/>
      <c r="B11" s="109"/>
      <c r="C11" s="109"/>
      <c r="D11" s="103" t="s">
        <v>12</v>
      </c>
      <c r="E11" s="100" t="s">
        <v>48</v>
      </c>
      <c r="F11" s="100" t="s">
        <v>72</v>
      </c>
      <c r="G11" s="109" t="s">
        <v>13</v>
      </c>
      <c r="H11" s="110" t="s">
        <v>14</v>
      </c>
      <c r="I11" s="110"/>
      <c r="J11" s="109" t="s">
        <v>13</v>
      </c>
      <c r="K11" s="110" t="s">
        <v>14</v>
      </c>
      <c r="L11" s="1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</row>
    <row r="12" spans="1:24" ht="15.75">
      <c r="A12" s="109"/>
      <c r="B12" s="109"/>
      <c r="C12" s="109"/>
      <c r="D12" s="104">
        <v>2013</v>
      </c>
      <c r="E12" s="101" t="s">
        <v>22</v>
      </c>
      <c r="F12" s="101">
        <v>5</v>
      </c>
      <c r="G12" s="109"/>
      <c r="H12" s="99" t="s">
        <v>16</v>
      </c>
      <c r="I12" s="99" t="s">
        <v>15</v>
      </c>
      <c r="J12" s="109"/>
      <c r="K12" s="99" t="s">
        <v>16</v>
      </c>
      <c r="L12" s="99" t="s">
        <v>15</v>
      </c>
      <c r="N12" s="77" t="s">
        <v>53</v>
      </c>
      <c r="O12" s="77" t="s">
        <v>62</v>
      </c>
      <c r="P12" s="71" t="s">
        <v>63</v>
      </c>
      <c r="Q12" s="71" t="s">
        <v>68</v>
      </c>
      <c r="R12" s="71" t="s">
        <v>73</v>
      </c>
      <c r="X12" s="11"/>
    </row>
    <row r="13" spans="1:24" ht="15.75">
      <c r="A13" s="99" t="s">
        <v>17</v>
      </c>
      <c r="B13" s="12" t="s">
        <v>18</v>
      </c>
      <c r="C13" s="13"/>
      <c r="D13" s="13"/>
      <c r="E13" s="118">
        <f>IF(E12="I",90,IF(E12="II",91,92))</f>
        <v>91</v>
      </c>
      <c r="F13" s="102">
        <f>IF(OR(F12=1,F12=3,F12=5,F12=7,F12=8,F12=10,F12=12),31,IF(F12=2,28,30))</f>
        <v>31</v>
      </c>
      <c r="G13" s="13"/>
      <c r="H13" s="14"/>
      <c r="I13" s="14"/>
      <c r="J13" s="13"/>
      <c r="K13" s="14"/>
      <c r="L13" s="14"/>
      <c r="M13" s="8"/>
      <c r="N13" s="8"/>
      <c r="O13" s="8"/>
      <c r="P13" s="82"/>
      <c r="X13" s="15"/>
    </row>
    <row r="14" spans="1:24" s="7" customFormat="1" ht="15.75">
      <c r="A14" s="99">
        <v>1</v>
      </c>
      <c r="B14" s="57" t="s">
        <v>46</v>
      </c>
      <c r="C14" s="12" t="s">
        <v>21</v>
      </c>
      <c r="D14" s="58">
        <v>6068739000</v>
      </c>
      <c r="E14" s="58">
        <f>D14/365*$E$13</f>
        <v>1513028079.4520547</v>
      </c>
      <c r="F14" s="58">
        <f>D14/365*$F$13</f>
        <v>515427147.94520551</v>
      </c>
      <c r="G14" s="58"/>
      <c r="H14" s="59">
        <f>G14/F14</f>
        <v>0</v>
      </c>
      <c r="I14" s="59">
        <f>G14/R14</f>
        <v>0</v>
      </c>
      <c r="J14" s="58">
        <f>G14+'T04'!J14</f>
        <v>2161215454.545454</v>
      </c>
      <c r="K14" s="59">
        <f>J14/D14</f>
        <v>0.35612265654289205</v>
      </c>
      <c r="L14" s="59">
        <f>J14/SUM(N14:R14)</f>
        <v>0.90450820302737145</v>
      </c>
      <c r="M14" s="16"/>
      <c r="N14" s="86">
        <v>526247455</v>
      </c>
      <c r="O14" s="87">
        <v>447279127</v>
      </c>
      <c r="P14" s="77">
        <v>471818491</v>
      </c>
      <c r="Q14" s="77">
        <v>463709400</v>
      </c>
      <c r="R14" s="77">
        <v>480327345</v>
      </c>
      <c r="X14" s="17"/>
    </row>
    <row r="15" spans="1:24" s="7" customFormat="1" ht="15.75">
      <c r="A15" s="99">
        <v>2</v>
      </c>
      <c r="B15" s="57" t="s">
        <v>47</v>
      </c>
      <c r="C15" s="12" t="s">
        <v>23</v>
      </c>
      <c r="D15" s="60">
        <v>86570</v>
      </c>
      <c r="E15" s="60">
        <f>D15/365*$E$13</f>
        <v>21583.205479452055</v>
      </c>
      <c r="F15" s="60">
        <f>D15/365*$F$13</f>
        <v>7352.5205479452052</v>
      </c>
      <c r="G15" s="58"/>
      <c r="H15" s="73">
        <f>G15/F15</f>
        <v>0</v>
      </c>
      <c r="I15" s="59">
        <f t="shared" ref="I15:I34" si="0">G15/R15</f>
        <v>0</v>
      </c>
      <c r="J15" s="60">
        <f>G15+'T04'!J15</f>
        <v>29575</v>
      </c>
      <c r="K15" s="73">
        <f>J15/D15</f>
        <v>0.34163105001732702</v>
      </c>
      <c r="L15" s="73">
        <f>J15/SUM(N15:R15)</f>
        <v>0.85373246348363263</v>
      </c>
      <c r="N15" s="88">
        <v>7436</v>
      </c>
      <c r="O15" s="89">
        <v>6411</v>
      </c>
      <c r="P15" s="85">
        <v>6884</v>
      </c>
      <c r="Q15" s="85">
        <v>6774</v>
      </c>
      <c r="R15" s="77">
        <v>7137</v>
      </c>
      <c r="X15" s="17"/>
    </row>
    <row r="16" spans="1:24" s="7" customFormat="1" ht="15.75">
      <c r="A16" s="99">
        <v>3</v>
      </c>
      <c r="B16" s="57" t="s">
        <v>33</v>
      </c>
      <c r="C16" s="12" t="s">
        <v>23</v>
      </c>
      <c r="D16" s="60">
        <v>1512872</v>
      </c>
      <c r="E16" s="60">
        <f>D16/365*$E$13</f>
        <v>377181.7863013699</v>
      </c>
      <c r="F16" s="60">
        <f>D16/365*$F$13</f>
        <v>128490.49863013699</v>
      </c>
      <c r="G16" s="58"/>
      <c r="H16" s="73">
        <f t="shared" ref="H16:H32" si="1">G16/F16</f>
        <v>0</v>
      </c>
      <c r="I16" s="59">
        <f t="shared" si="0"/>
        <v>0</v>
      </c>
      <c r="J16" s="60">
        <f>G16+'T04'!J16</f>
        <v>549849</v>
      </c>
      <c r="K16" s="73">
        <f t="shared" ref="K16:K32" si="2">J16/D16</f>
        <v>0.3634471389516099</v>
      </c>
      <c r="L16" s="73">
        <f>J16/SUM(N16:R16)</f>
        <v>0.91635238258718987</v>
      </c>
      <c r="M16" s="16"/>
      <c r="N16" s="89">
        <v>130916</v>
      </c>
      <c r="O16" s="89">
        <v>111618</v>
      </c>
      <c r="P16" s="85">
        <v>118025</v>
      </c>
      <c r="Q16" s="85">
        <v>117051</v>
      </c>
      <c r="R16" s="77">
        <v>122431</v>
      </c>
      <c r="S16" s="16"/>
      <c r="T16" s="16"/>
      <c r="U16" s="16"/>
      <c r="X16" s="18"/>
    </row>
    <row r="17" spans="1:24" s="7" customFormat="1" ht="15.75">
      <c r="A17" s="99" t="s">
        <v>24</v>
      </c>
      <c r="B17" s="38" t="s">
        <v>49</v>
      </c>
      <c r="C17" s="12"/>
      <c r="D17" s="58"/>
      <c r="E17" s="58">
        <f>D17/365*91</f>
        <v>0</v>
      </c>
      <c r="F17" s="58"/>
      <c r="G17" s="58"/>
      <c r="H17" s="59"/>
      <c r="I17" s="59"/>
      <c r="J17" s="58"/>
      <c r="K17" s="59"/>
      <c r="L17" s="59"/>
      <c r="N17" s="88"/>
      <c r="O17" s="83"/>
      <c r="P17" s="83"/>
      <c r="Q17" s="85"/>
      <c r="R17" s="77"/>
    </row>
    <row r="18" spans="1:24" s="7" customFormat="1" ht="15.75">
      <c r="A18" s="99" t="s">
        <v>19</v>
      </c>
      <c r="B18" s="12" t="s">
        <v>20</v>
      </c>
      <c r="C18" s="12" t="s">
        <v>21</v>
      </c>
      <c r="D18" s="58">
        <v>1603354000</v>
      </c>
      <c r="E18" s="58">
        <f>D18/365*$E$13</f>
        <v>399740312.32876706</v>
      </c>
      <c r="F18" s="58">
        <f>D18/365*$F$13</f>
        <v>136175271.23287669</v>
      </c>
      <c r="G18" s="58"/>
      <c r="H18" s="59">
        <f t="shared" si="1"/>
        <v>0</v>
      </c>
      <c r="I18" s="59">
        <f t="shared" si="0"/>
        <v>0</v>
      </c>
      <c r="J18" s="58">
        <f>G18+'T04'!J18</f>
        <v>553543018.18181813</v>
      </c>
      <c r="K18" s="59">
        <f>J18/D18</f>
        <v>0.34524067559741523</v>
      </c>
      <c r="L18" s="59">
        <f>J18/SUM(N18:R18)</f>
        <v>0.8657782200104106</v>
      </c>
      <c r="M18" s="20"/>
      <c r="N18" s="90">
        <v>118407673</v>
      </c>
      <c r="O18" s="87">
        <v>128732436</v>
      </c>
      <c r="P18" s="84">
        <v>131960473</v>
      </c>
      <c r="Q18" s="77">
        <v>126214800</v>
      </c>
      <c r="R18" s="77">
        <v>134043527</v>
      </c>
      <c r="S18" s="20"/>
      <c r="T18" s="21"/>
      <c r="U18" s="16"/>
      <c r="V18" s="22"/>
      <c r="W18" s="22"/>
      <c r="X18" s="23"/>
    </row>
    <row r="19" spans="1:24" s="7" customFormat="1" ht="15.75">
      <c r="A19" s="99" t="s">
        <v>22</v>
      </c>
      <c r="B19" s="12" t="s">
        <v>25</v>
      </c>
      <c r="C19" s="12" t="s">
        <v>23</v>
      </c>
      <c r="D19" s="58">
        <f>SUM(D20:D23)</f>
        <v>89048</v>
      </c>
      <c r="E19" s="58">
        <f>D19/365*$E$13</f>
        <v>22201.008219178082</v>
      </c>
      <c r="F19" s="58">
        <f>D19/365*$F$13</f>
        <v>7562.9808219178085</v>
      </c>
      <c r="G19" s="58">
        <f>SUM(G20:G23)</f>
        <v>0</v>
      </c>
      <c r="H19" s="59">
        <f t="shared" si="1"/>
        <v>0</v>
      </c>
      <c r="I19" s="59">
        <f t="shared" si="0"/>
        <v>0</v>
      </c>
      <c r="J19" s="58">
        <f>SUM(J20:J23)</f>
        <v>31061</v>
      </c>
      <c r="K19" s="59">
        <f t="shared" si="2"/>
        <v>0.34881187674063424</v>
      </c>
      <c r="L19" s="59">
        <f t="shared" ref="L15:L34" si="3">J19/SUM(N19:R19)</f>
        <v>1.0400468776159384</v>
      </c>
      <c r="N19" s="90">
        <f>SUM(N20:N23)</f>
        <v>6806</v>
      </c>
      <c r="O19" s="84">
        <f>SUM(O20:O23)</f>
        <v>6970</v>
      </c>
      <c r="P19" s="84">
        <f>SUM(P20:P23)</f>
        <v>7498</v>
      </c>
      <c r="Q19" s="77">
        <f>SUM(Q20:Q23)</f>
        <v>7102</v>
      </c>
      <c r="R19" s="77">
        <v>1489</v>
      </c>
      <c r="V19" s="17"/>
      <c r="W19" s="17"/>
      <c r="X19" s="18"/>
    </row>
    <row r="20" spans="1:24">
      <c r="A20" s="19">
        <v>1</v>
      </c>
      <c r="B20" s="13" t="s">
        <v>26</v>
      </c>
      <c r="C20" s="13" t="s">
        <v>23</v>
      </c>
      <c r="D20" s="60">
        <v>17697</v>
      </c>
      <c r="E20" s="60">
        <f>D20/365*$E$13</f>
        <v>4412.1287671232876</v>
      </c>
      <c r="F20" s="60">
        <f>D20/365*$F$13</f>
        <v>1503.0328767123287</v>
      </c>
      <c r="G20" s="60"/>
      <c r="H20" s="73">
        <f t="shared" si="1"/>
        <v>0</v>
      </c>
      <c r="I20" s="73">
        <f t="shared" si="0"/>
        <v>0</v>
      </c>
      <c r="J20" s="60">
        <f>G20+'T04'!J20</f>
        <v>4809</v>
      </c>
      <c r="K20" s="73">
        <f t="shared" si="2"/>
        <v>0.27174097304627903</v>
      </c>
      <c r="L20" s="73">
        <f t="shared" si="3"/>
        <v>0.71488033298647247</v>
      </c>
      <c r="N20" s="91">
        <v>1208</v>
      </c>
      <c r="O20" s="89">
        <v>1475</v>
      </c>
      <c r="P20" s="89">
        <v>1310</v>
      </c>
      <c r="Q20" s="85">
        <v>1245</v>
      </c>
      <c r="R20" s="85">
        <v>1489</v>
      </c>
      <c r="V20" s="15"/>
      <c r="W20" s="15"/>
      <c r="X20" s="11"/>
    </row>
    <row r="21" spans="1:24">
      <c r="A21" s="19">
        <v>2</v>
      </c>
      <c r="B21" s="13" t="s">
        <v>27</v>
      </c>
      <c r="C21" s="13" t="s">
        <v>23</v>
      </c>
      <c r="D21" s="60">
        <v>14500</v>
      </c>
      <c r="E21" s="60">
        <f t="shared" ref="E21:E23" si="4">D21/365*$E$13</f>
        <v>3615.0684931506848</v>
      </c>
      <c r="F21" s="60">
        <f t="shared" ref="F21:F32" si="5">D21/365*$F$13</f>
        <v>1231.5068493150686</v>
      </c>
      <c r="G21" s="60"/>
      <c r="H21" s="73">
        <f t="shared" si="1"/>
        <v>0</v>
      </c>
      <c r="I21" s="73">
        <f t="shared" si="0"/>
        <v>0</v>
      </c>
      <c r="J21" s="60">
        <f>G21+'T04'!J21</f>
        <v>4920</v>
      </c>
      <c r="K21" s="73">
        <f t="shared" si="2"/>
        <v>0.33931034482758621</v>
      </c>
      <c r="L21" s="73">
        <f t="shared" si="3"/>
        <v>0.82095778408142839</v>
      </c>
      <c r="N21" s="91">
        <f>527+686</f>
        <v>1213</v>
      </c>
      <c r="O21" s="89">
        <f>493+638</f>
        <v>1131</v>
      </c>
      <c r="P21" s="89">
        <f>527+682</f>
        <v>1209</v>
      </c>
      <c r="Q21" s="85">
        <f>540+660</f>
        <v>1200</v>
      </c>
      <c r="R21" s="85">
        <f>558+682</f>
        <v>1240</v>
      </c>
      <c r="V21" s="15"/>
      <c r="W21" s="15"/>
      <c r="X21" s="11"/>
    </row>
    <row r="22" spans="1:24">
      <c r="A22" s="19">
        <v>3</v>
      </c>
      <c r="B22" s="13" t="s">
        <v>28</v>
      </c>
      <c r="C22" s="13" t="s">
        <v>23</v>
      </c>
      <c r="D22" s="60">
        <v>17043</v>
      </c>
      <c r="E22" s="60">
        <f t="shared" si="4"/>
        <v>4249.0767123287678</v>
      </c>
      <c r="F22" s="60">
        <f t="shared" si="5"/>
        <v>1447.4876712328769</v>
      </c>
      <c r="G22" s="60"/>
      <c r="H22" s="73">
        <f t="shared" si="1"/>
        <v>0</v>
      </c>
      <c r="I22" s="73">
        <f t="shared" si="0"/>
        <v>0</v>
      </c>
      <c r="J22" s="60">
        <f>G22+'T04'!J22</f>
        <v>6324</v>
      </c>
      <c r="K22" s="73">
        <f t="shared" si="2"/>
        <v>0.37106143284632986</v>
      </c>
      <c r="L22" s="73">
        <f t="shared" si="3"/>
        <v>0.92686501538912502</v>
      </c>
      <c r="N22" s="91">
        <v>1184</v>
      </c>
      <c r="O22" s="89">
        <v>1272</v>
      </c>
      <c r="P22" s="89">
        <v>1445</v>
      </c>
      <c r="Q22" s="85">
        <v>1440</v>
      </c>
      <c r="R22" s="85">
        <v>1482</v>
      </c>
      <c r="V22" s="15"/>
      <c r="W22" s="15"/>
      <c r="X22" s="11"/>
    </row>
    <row r="23" spans="1:24">
      <c r="A23" s="19">
        <v>4</v>
      </c>
      <c r="B23" s="13" t="s">
        <v>29</v>
      </c>
      <c r="C23" s="13" t="s">
        <v>23</v>
      </c>
      <c r="D23" s="60">
        <v>39808</v>
      </c>
      <c r="E23" s="60">
        <f t="shared" si="4"/>
        <v>9924.7342465753427</v>
      </c>
      <c r="F23" s="60">
        <f t="shared" si="5"/>
        <v>3380.9534246575345</v>
      </c>
      <c r="G23" s="60"/>
      <c r="H23" s="73">
        <f t="shared" si="1"/>
        <v>0</v>
      </c>
      <c r="I23" s="73">
        <f t="shared" si="0"/>
        <v>0</v>
      </c>
      <c r="J23" s="60">
        <f>G23+'T04'!J23</f>
        <v>15008</v>
      </c>
      <c r="K23" s="73">
        <f t="shared" si="2"/>
        <v>0.37700964630225081</v>
      </c>
      <c r="L23" s="73">
        <f t="shared" si="3"/>
        <v>0.92413793103448272</v>
      </c>
      <c r="N23" s="91">
        <v>3201</v>
      </c>
      <c r="O23" s="89">
        <v>3092</v>
      </c>
      <c r="P23" s="89">
        <v>3534</v>
      </c>
      <c r="Q23" s="85">
        <v>3217</v>
      </c>
      <c r="R23" s="85">
        <v>3196</v>
      </c>
      <c r="V23" s="15"/>
      <c r="W23" s="15"/>
      <c r="X23" s="11"/>
    </row>
    <row r="24" spans="1:24" s="25" customFormat="1" ht="15.75">
      <c r="A24" s="99" t="s">
        <v>30</v>
      </c>
      <c r="B24" s="12" t="s">
        <v>31</v>
      </c>
      <c r="C24" s="13"/>
      <c r="D24" s="60"/>
      <c r="E24" s="58"/>
      <c r="F24" s="58"/>
      <c r="G24" s="60"/>
      <c r="H24" s="59"/>
      <c r="I24" s="59"/>
      <c r="J24" s="58"/>
      <c r="K24" s="59"/>
      <c r="L24" s="59"/>
      <c r="M24" s="24"/>
      <c r="N24" s="91"/>
      <c r="O24" s="92"/>
      <c r="P24" s="92"/>
      <c r="Q24" s="98"/>
      <c r="R24" s="98"/>
    </row>
    <row r="25" spans="1:24" s="26" customFormat="1" ht="15.75">
      <c r="A25" s="19">
        <v>1</v>
      </c>
      <c r="B25" s="13" t="s">
        <v>46</v>
      </c>
      <c r="C25" s="12" t="s">
        <v>21</v>
      </c>
      <c r="D25" s="58">
        <v>2748144000</v>
      </c>
      <c r="E25" s="58">
        <f>D25/365*$E$13</f>
        <v>685153709.58904111</v>
      </c>
      <c r="F25" s="58">
        <f t="shared" si="5"/>
        <v>233404010.95890412</v>
      </c>
      <c r="G25" s="58"/>
      <c r="H25" s="59">
        <f t="shared" si="1"/>
        <v>0</v>
      </c>
      <c r="I25" s="59">
        <f t="shared" si="0"/>
        <v>0</v>
      </c>
      <c r="J25" s="58">
        <f>G25+'T04'!J25</f>
        <v>936797840.90909088</v>
      </c>
      <c r="K25" s="59">
        <f t="shared" si="2"/>
        <v>0.34088382592363825</v>
      </c>
      <c r="L25" s="59">
        <f t="shared" si="3"/>
        <v>0.82055889841442264</v>
      </c>
      <c r="M25" s="39"/>
      <c r="N25" s="93">
        <v>232838197</v>
      </c>
      <c r="O25" s="87">
        <v>217816378</v>
      </c>
      <c r="P25" s="94">
        <v>232838197</v>
      </c>
      <c r="Q25" s="94">
        <v>225327287</v>
      </c>
      <c r="R25" s="94">
        <v>232838197</v>
      </c>
      <c r="S25" s="40"/>
      <c r="T25" s="40"/>
      <c r="U25" s="40"/>
      <c r="V25" s="40"/>
      <c r="W25" s="40"/>
      <c r="X25" s="41"/>
    </row>
    <row r="26" spans="1:24" s="25" customFormat="1">
      <c r="A26" s="19">
        <v>2</v>
      </c>
      <c r="B26" s="13" t="s">
        <v>32</v>
      </c>
      <c r="C26" s="13" t="s">
        <v>23</v>
      </c>
      <c r="D26" s="60">
        <v>557921</v>
      </c>
      <c r="E26" s="60">
        <f>D26/365*$E$13</f>
        <v>139098.11232876711</v>
      </c>
      <c r="F26" s="60">
        <f t="shared" si="5"/>
        <v>47385.071232876711</v>
      </c>
      <c r="G26" s="60">
        <f>F26</f>
        <v>47385.071232876711</v>
      </c>
      <c r="H26" s="73">
        <f t="shared" si="1"/>
        <v>1</v>
      </c>
      <c r="I26" s="59">
        <f t="shared" si="0"/>
        <v>1.0343375367344083</v>
      </c>
      <c r="J26" s="60">
        <f>G26+'T04'!J26</f>
        <v>230811.15342465753</v>
      </c>
      <c r="K26" s="73">
        <f t="shared" si="2"/>
        <v>0.41369863013698632</v>
      </c>
      <c r="L26" s="73">
        <f t="shared" si="3"/>
        <v>1.0275353406313497</v>
      </c>
      <c r="M26" s="42"/>
      <c r="N26" s="56">
        <v>45812</v>
      </c>
      <c r="O26" s="83">
        <v>42856</v>
      </c>
      <c r="P26" s="83">
        <v>45812</v>
      </c>
      <c r="Q26" s="83">
        <v>44334</v>
      </c>
      <c r="R26" s="119">
        <v>45812</v>
      </c>
      <c r="S26" s="42"/>
      <c r="T26" s="42"/>
      <c r="U26" s="42"/>
      <c r="V26" s="42"/>
      <c r="W26" s="42"/>
      <c r="X26" s="43"/>
    </row>
    <row r="27" spans="1:24" s="25" customFormat="1">
      <c r="A27" s="19">
        <v>3</v>
      </c>
      <c r="B27" s="13" t="s">
        <v>33</v>
      </c>
      <c r="C27" s="13" t="s">
        <v>23</v>
      </c>
      <c r="D27" s="60">
        <v>17309331</v>
      </c>
      <c r="E27" s="60">
        <f>D27/365*$E$13</f>
        <v>4315477.0438356167</v>
      </c>
      <c r="F27" s="60">
        <f t="shared" si="5"/>
        <v>1470107.5643835617</v>
      </c>
      <c r="G27" s="60">
        <f>F27</f>
        <v>1470107.5643835617</v>
      </c>
      <c r="H27" s="73">
        <f t="shared" si="1"/>
        <v>1</v>
      </c>
      <c r="I27" s="59">
        <f t="shared" si="0"/>
        <v>1.0422037269764703</v>
      </c>
      <c r="J27" s="60">
        <f>G27+'T04'!J27</f>
        <v>7160846.5232876716</v>
      </c>
      <c r="K27" s="73">
        <f t="shared" si="2"/>
        <v>0.41369863013698632</v>
      </c>
      <c r="L27" s="73">
        <f t="shared" si="3"/>
        <v>1.035346920696838</v>
      </c>
      <c r="M27" s="42"/>
      <c r="N27" s="56">
        <v>1410576</v>
      </c>
      <c r="O27" s="83">
        <v>1319572</v>
      </c>
      <c r="P27" s="83">
        <v>1410576</v>
      </c>
      <c r="Q27" s="83">
        <v>1365074</v>
      </c>
      <c r="R27" s="119">
        <v>1410576</v>
      </c>
      <c r="S27" s="42"/>
      <c r="T27" s="42"/>
      <c r="U27" s="42"/>
      <c r="V27" s="42"/>
      <c r="W27" s="42"/>
      <c r="X27" s="43"/>
    </row>
    <row r="28" spans="1:24" s="26" customFormat="1" ht="15.75">
      <c r="A28" s="99" t="s">
        <v>34</v>
      </c>
      <c r="B28" s="12" t="s">
        <v>35</v>
      </c>
      <c r="C28" s="12"/>
      <c r="D28" s="58">
        <f>SUM(D29:D32)</f>
        <v>2875862000</v>
      </c>
      <c r="E28" s="58">
        <f>SUM(E29:E32)</f>
        <v>716995731.50684929</v>
      </c>
      <c r="F28" s="58">
        <f>SUM(F29:F32)</f>
        <v>244251293.15068492</v>
      </c>
      <c r="G28" s="58">
        <f>SUM(G29:G33)</f>
        <v>0</v>
      </c>
      <c r="H28" s="59">
        <f t="shared" si="1"/>
        <v>0</v>
      </c>
      <c r="I28" s="59">
        <f t="shared" si="0"/>
        <v>0</v>
      </c>
      <c r="J28" s="58">
        <f>SUM(J29:J33)</f>
        <v>1049550909.090909</v>
      </c>
      <c r="K28" s="59">
        <f t="shared" si="2"/>
        <v>0.36495176371150945</v>
      </c>
      <c r="L28" s="59">
        <f t="shared" si="3"/>
        <v>0.97467142500826465</v>
      </c>
      <c r="M28" s="44"/>
      <c r="N28" s="93">
        <f>SUM(N29:N33)</f>
        <v>208134727</v>
      </c>
      <c r="O28" s="94">
        <f>SUM(O29:O33)</f>
        <v>212788817</v>
      </c>
      <c r="P28" s="94">
        <f>SUM(P29:P33)</f>
        <v>213357454</v>
      </c>
      <c r="Q28" s="84">
        <f>SUM(Q29:Q33)</f>
        <v>217963727</v>
      </c>
      <c r="R28" s="84">
        <f>SUM(R29:R33)</f>
        <v>224580636</v>
      </c>
      <c r="S28" s="44"/>
      <c r="T28" s="44"/>
      <c r="U28" s="44"/>
      <c r="V28" s="44"/>
      <c r="W28" s="44"/>
      <c r="X28" s="45"/>
    </row>
    <row r="29" spans="1:24" s="25" customFormat="1">
      <c r="A29" s="19">
        <v>1</v>
      </c>
      <c r="B29" s="13" t="s">
        <v>36</v>
      </c>
      <c r="C29" s="13"/>
      <c r="D29" s="60">
        <v>2418778400</v>
      </c>
      <c r="E29" s="60">
        <f>D29/365*$E$13</f>
        <v>603037902.46575344</v>
      </c>
      <c r="F29" s="60">
        <f t="shared" si="5"/>
        <v>205430494.24657533</v>
      </c>
      <c r="G29" s="60"/>
      <c r="H29" s="73">
        <f t="shared" si="1"/>
        <v>0</v>
      </c>
      <c r="I29" s="73">
        <f t="shared" si="0"/>
        <v>0</v>
      </c>
      <c r="J29" s="60">
        <f>G29+'T04'!J29</f>
        <v>847532727.27272725</v>
      </c>
      <c r="K29" s="73">
        <f t="shared" si="2"/>
        <v>0.35039701333231982</v>
      </c>
      <c r="L29" s="73">
        <f t="shared" si="3"/>
        <v>0.95671671880100417</v>
      </c>
      <c r="M29" s="46"/>
      <c r="N29" s="91">
        <v>175460000</v>
      </c>
      <c r="O29" s="83">
        <v>176823636</v>
      </c>
      <c r="P29" s="89">
        <v>175460000</v>
      </c>
      <c r="Q29" s="89">
        <v>180884545</v>
      </c>
      <c r="R29" s="89">
        <v>177248182</v>
      </c>
      <c r="S29" s="47"/>
      <c r="T29" s="47"/>
      <c r="U29" s="47"/>
      <c r="V29" s="47"/>
      <c r="W29" s="47"/>
      <c r="X29" s="48"/>
    </row>
    <row r="30" spans="1:24" s="25" customFormat="1">
      <c r="A30" s="19">
        <v>2</v>
      </c>
      <c r="B30" s="13" t="s">
        <v>37</v>
      </c>
      <c r="C30" s="13"/>
      <c r="D30" s="60">
        <v>320442873</v>
      </c>
      <c r="E30" s="60">
        <f>D30/365*$E$13</f>
        <v>79891236.830136985</v>
      </c>
      <c r="F30" s="60">
        <f t="shared" si="5"/>
        <v>27215696.063013699</v>
      </c>
      <c r="G30" s="60"/>
      <c r="H30" s="73">
        <f t="shared" si="1"/>
        <v>0</v>
      </c>
      <c r="I30" s="73">
        <f t="shared" si="0"/>
        <v>0</v>
      </c>
      <c r="J30" s="60">
        <f>G30+'T04'!J30</f>
        <v>120630727.27272725</v>
      </c>
      <c r="K30" s="73">
        <f t="shared" si="2"/>
        <v>0.3764500241287228</v>
      </c>
      <c r="L30" s="73">
        <f t="shared" si="3"/>
        <v>0.9689873019387778</v>
      </c>
      <c r="M30" s="46"/>
      <c r="N30" s="91">
        <v>21278364</v>
      </c>
      <c r="O30" s="83">
        <v>24557909</v>
      </c>
      <c r="P30" s="89">
        <v>26559273</v>
      </c>
      <c r="Q30" s="89">
        <v>25809182</v>
      </c>
      <c r="R30" s="89">
        <v>26286818</v>
      </c>
      <c r="S30" s="47"/>
      <c r="T30" s="47"/>
      <c r="U30" s="47"/>
      <c r="V30" s="47"/>
      <c r="W30" s="47"/>
      <c r="X30" s="48"/>
    </row>
    <row r="31" spans="1:24" s="25" customFormat="1">
      <c r="A31" s="19">
        <v>3</v>
      </c>
      <c r="B31" s="13" t="s">
        <v>38</v>
      </c>
      <c r="C31" s="13"/>
      <c r="D31" s="60">
        <v>11186182</v>
      </c>
      <c r="E31" s="60">
        <f>D31/365*$E$13</f>
        <v>2788883.7315068492</v>
      </c>
      <c r="F31" s="60">
        <f t="shared" si="5"/>
        <v>950059.29315068491</v>
      </c>
      <c r="G31" s="60"/>
      <c r="H31" s="73">
        <f t="shared" si="1"/>
        <v>0</v>
      </c>
      <c r="I31" s="73">
        <f t="shared" si="0"/>
        <v>0</v>
      </c>
      <c r="J31" s="60">
        <f>G31+'T04'!J31</f>
        <v>3100909.0909090908</v>
      </c>
      <c r="K31" s="73">
        <f t="shared" si="2"/>
        <v>0.27720888958440787</v>
      </c>
      <c r="L31" s="73">
        <f t="shared" si="3"/>
        <v>0.67040102245295075</v>
      </c>
      <c r="M31" s="46"/>
      <c r="N31" s="95">
        <v>941818</v>
      </c>
      <c r="O31" s="83">
        <v>952727</v>
      </c>
      <c r="P31" s="96">
        <v>883636</v>
      </c>
      <c r="Q31" s="96">
        <v>815455</v>
      </c>
      <c r="R31" s="96">
        <v>1031818</v>
      </c>
      <c r="S31" s="50"/>
      <c r="T31" s="50"/>
      <c r="U31" s="50"/>
      <c r="V31" s="50"/>
      <c r="W31" s="50"/>
      <c r="X31" s="51"/>
    </row>
    <row r="32" spans="1:24" s="25" customFormat="1">
      <c r="A32" s="19">
        <v>4</v>
      </c>
      <c r="B32" s="13" t="s">
        <v>39</v>
      </c>
      <c r="C32" s="13"/>
      <c r="D32" s="60">
        <v>125454545</v>
      </c>
      <c r="E32" s="60">
        <f>D32/365*$E$13</f>
        <v>31277708.479452059</v>
      </c>
      <c r="F32" s="60">
        <f t="shared" si="5"/>
        <v>10655043.547945207</v>
      </c>
      <c r="G32" s="60"/>
      <c r="H32" s="73">
        <f t="shared" si="1"/>
        <v>0</v>
      </c>
      <c r="I32" s="73">
        <f t="shared" si="0"/>
        <v>0</v>
      </c>
      <c r="J32" s="60">
        <f>G32+'T04'!J32</f>
        <v>46181818.18181818</v>
      </c>
      <c r="K32" s="73">
        <f t="shared" si="2"/>
        <v>0.3681159433627389</v>
      </c>
      <c r="L32" s="73">
        <f t="shared" si="3"/>
        <v>0.8834782992816651</v>
      </c>
      <c r="M32" s="46"/>
      <c r="N32" s="91">
        <v>10454545</v>
      </c>
      <c r="O32" s="83">
        <v>10454545</v>
      </c>
      <c r="P32" s="83">
        <v>10454545</v>
      </c>
      <c r="Q32" s="83">
        <v>10454545</v>
      </c>
      <c r="R32" s="83">
        <v>10454545</v>
      </c>
      <c r="S32" s="52"/>
      <c r="T32" s="52"/>
      <c r="U32" s="52"/>
      <c r="V32" s="52"/>
      <c r="W32" s="52"/>
      <c r="X32" s="9"/>
    </row>
    <row r="33" spans="1:24" s="25" customFormat="1">
      <c r="A33" s="19">
        <v>5</v>
      </c>
      <c r="B33" s="27" t="s">
        <v>40</v>
      </c>
      <c r="C33" s="13"/>
      <c r="D33" s="60"/>
      <c r="E33" s="60"/>
      <c r="F33" s="58"/>
      <c r="G33" s="60"/>
      <c r="H33" s="61"/>
      <c r="I33" s="73">
        <f t="shared" si="0"/>
        <v>0</v>
      </c>
      <c r="J33" s="60">
        <f>G33+'T04'!J33</f>
        <v>32104727.27272727</v>
      </c>
      <c r="K33" s="59"/>
      <c r="L33" s="59"/>
      <c r="M33" s="53"/>
      <c r="N33" s="55"/>
      <c r="O33" s="24"/>
      <c r="P33" s="92"/>
      <c r="Q33" s="54"/>
      <c r="R33" s="119">
        <v>9559273</v>
      </c>
      <c r="S33" s="54"/>
      <c r="T33" s="54"/>
      <c r="U33" s="54"/>
      <c r="V33" s="54"/>
      <c r="W33" s="54"/>
      <c r="X33" s="55"/>
    </row>
    <row r="34" spans="1:24" ht="15.75">
      <c r="A34" s="110" t="s">
        <v>41</v>
      </c>
      <c r="B34" s="110"/>
      <c r="C34" s="12"/>
      <c r="D34" s="58">
        <f>D14+D18+D25+D28</f>
        <v>13296099000</v>
      </c>
      <c r="E34" s="58">
        <f>E14+E18+E25+E28</f>
        <v>3314917832.8767123</v>
      </c>
      <c r="F34" s="58">
        <f>F14+F18+F25+F28</f>
        <v>1129257723.2876713</v>
      </c>
      <c r="G34" s="58">
        <f>G14+G18+G25+G28</f>
        <v>0</v>
      </c>
      <c r="H34" s="59">
        <f>G34/F34</f>
        <v>0</v>
      </c>
      <c r="I34" s="59">
        <f t="shared" si="0"/>
        <v>0</v>
      </c>
      <c r="J34" s="58">
        <f>J14+J18+J25+J28</f>
        <v>4701107222.727272</v>
      </c>
      <c r="K34" s="59">
        <f>J34/D34</f>
        <v>0.3535704136023109</v>
      </c>
      <c r="L34" s="59">
        <f t="shared" si="3"/>
        <v>0.89592266553477229</v>
      </c>
      <c r="M34" s="56"/>
      <c r="N34" s="22">
        <f>N14+N18+N25+N28</f>
        <v>1085628052</v>
      </c>
      <c r="O34" s="22">
        <f>O14+O18+O25+O28</f>
        <v>1006616758</v>
      </c>
      <c r="P34" s="22">
        <f>P14+P18+P25+P28</f>
        <v>1049974615</v>
      </c>
      <c r="Q34" s="22">
        <f>Q14+Q18+Q25+Q28+1</f>
        <v>1033215215</v>
      </c>
      <c r="R34" s="84">
        <f>R14+R18+R25+R28+1</f>
        <v>1071789706</v>
      </c>
      <c r="S34" s="56"/>
      <c r="T34" s="56"/>
      <c r="U34" s="56"/>
      <c r="V34" s="56"/>
      <c r="W34" s="56"/>
      <c r="X34" s="56"/>
    </row>
    <row r="35" spans="1:24">
      <c r="J35" s="8"/>
    </row>
    <row r="36" spans="1:24" s="1" customFormat="1" ht="17.25">
      <c r="A36" s="28"/>
      <c r="B36" s="28"/>
      <c r="C36" s="28"/>
      <c r="D36" s="22"/>
      <c r="E36" s="22"/>
      <c r="F36" s="29">
        <f>D16/365</f>
        <v>4144.8547945205482</v>
      </c>
      <c r="G36" s="29"/>
      <c r="H36" s="105" t="s">
        <v>69</v>
      </c>
      <c r="I36" s="105"/>
      <c r="J36" s="105"/>
      <c r="K36" s="105"/>
      <c r="L36" s="105"/>
    </row>
    <row r="37" spans="1:24" s="1" customFormat="1" ht="17.25">
      <c r="A37" s="28"/>
      <c r="B37" s="30" t="s">
        <v>42</v>
      </c>
      <c r="C37" s="28"/>
      <c r="D37" s="22"/>
      <c r="E37" s="22"/>
      <c r="F37" s="28"/>
      <c r="G37" s="29"/>
      <c r="H37" s="106" t="s">
        <v>43</v>
      </c>
      <c r="I37" s="106"/>
      <c r="J37" s="106"/>
      <c r="K37" s="106"/>
      <c r="L37" s="106"/>
      <c r="M37" s="1" t="s">
        <v>6</v>
      </c>
      <c r="P37" s="1" t="s">
        <v>55</v>
      </c>
      <c r="Q37" s="28"/>
      <c r="R37" s="28"/>
      <c r="S37" s="29" t="s">
        <v>56</v>
      </c>
    </row>
    <row r="38" spans="1:24" s="1" customFormat="1" ht="17.25">
      <c r="A38" s="28"/>
      <c r="B38" s="31" t="s">
        <v>44</v>
      </c>
      <c r="C38" s="32"/>
      <c r="D38" s="22"/>
      <c r="E38" s="22">
        <f>D27/365</f>
        <v>47422.824657534249</v>
      </c>
      <c r="F38" s="29">
        <f>G27/30</f>
        <v>49003.585479452056</v>
      </c>
      <c r="G38" s="1">
        <f>30+31+30</f>
        <v>91</v>
      </c>
      <c r="H38" s="28"/>
      <c r="I38" s="28"/>
      <c r="J38" s="28"/>
      <c r="K38" s="28"/>
      <c r="L38" s="33"/>
      <c r="M38" s="107"/>
      <c r="N38" s="107"/>
      <c r="P38" s="8" t="s">
        <v>57</v>
      </c>
      <c r="Q38" s="36"/>
      <c r="R38" s="35"/>
      <c r="S38" s="36" t="s">
        <v>58</v>
      </c>
    </row>
    <row r="39" spans="1:24" s="1" customFormat="1" ht="17.25">
      <c r="A39" s="28"/>
      <c r="B39" s="34" t="s">
        <v>45</v>
      </c>
      <c r="C39" s="28"/>
      <c r="D39" s="22"/>
      <c r="E39" s="22"/>
      <c r="F39" s="28"/>
      <c r="G39" s="1">
        <f>86570/365</f>
        <v>237.17808219178082</v>
      </c>
      <c r="K39" s="28"/>
      <c r="L39" s="33"/>
      <c r="N39" s="28"/>
    </row>
    <row r="40" spans="1:24" customFormat="1" ht="15">
      <c r="A40" s="35"/>
      <c r="C40" s="35"/>
      <c r="D40" s="35"/>
      <c r="E40" s="35"/>
      <c r="F40" s="36"/>
      <c r="G40" s="6"/>
      <c r="H40" s="6"/>
      <c r="I40" s="6"/>
      <c r="J40" s="6"/>
      <c r="K40" s="35"/>
      <c r="L40" s="37"/>
      <c r="M40" s="108"/>
      <c r="N40" s="108"/>
    </row>
    <row r="41" spans="1:24" customFormat="1" ht="15">
      <c r="B41" s="6"/>
      <c r="J41" t="s">
        <v>6</v>
      </c>
    </row>
  </sheetData>
  <mergeCells count="24">
    <mergeCell ref="A4:C4"/>
    <mergeCell ref="A1:C1"/>
    <mergeCell ref="G1:L1"/>
    <mergeCell ref="A2:C2"/>
    <mergeCell ref="G2:L2"/>
    <mergeCell ref="A3:C3"/>
    <mergeCell ref="G11:G12"/>
    <mergeCell ref="H11:I11"/>
    <mergeCell ref="J11:J12"/>
    <mergeCell ref="K11:L11"/>
    <mergeCell ref="A5:L5"/>
    <mergeCell ref="A6:L6"/>
    <mergeCell ref="A8:L8"/>
    <mergeCell ref="A10:A12"/>
    <mergeCell ref="B10:B12"/>
    <mergeCell ref="C10:C12"/>
    <mergeCell ref="D10:F10"/>
    <mergeCell ref="G10:I10"/>
    <mergeCell ref="J10:L10"/>
    <mergeCell ref="A34:B34"/>
    <mergeCell ref="H36:L36"/>
    <mergeCell ref="H37:L37"/>
    <mergeCell ref="M38:N38"/>
    <mergeCell ref="M40:N40"/>
  </mergeCells>
  <pageMargins left="0.2" right="0.2" top="1" bottom="1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T01</vt:lpstr>
      <vt:lpstr>T02</vt:lpstr>
      <vt:lpstr>T03</vt:lpstr>
      <vt:lpstr>T04</vt:lpstr>
      <vt:lpstr>T05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2013-05-08T06:38:12Z</dcterms:modified>
</cp:coreProperties>
</file>