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1355" windowHeight="7530" tabRatio="838"/>
  </bookViews>
  <sheets>
    <sheet name="BC SỞ GTVT " sheetId="35" r:id="rId1"/>
    <sheet name="BC P-KHDT" sheetId="70" r:id="rId2"/>
    <sheet name="BÁO CÁO THÁNG" sheetId="6" r:id="rId3"/>
    <sheet name="01" sheetId="37" r:id="rId4"/>
    <sheet name="02" sheetId="64" r:id="rId5"/>
    <sheet name="03" sheetId="63" r:id="rId6"/>
    <sheet name="04" sheetId="62" r:id="rId7"/>
    <sheet name="05" sheetId="61" r:id="rId8"/>
    <sheet name="06" sheetId="60" r:id="rId9"/>
    <sheet name="07" sheetId="59" r:id="rId10"/>
    <sheet name="08" sheetId="58" r:id="rId11"/>
    <sheet name="09" sheetId="57" r:id="rId12"/>
    <sheet name="10" sheetId="56" r:id="rId13"/>
    <sheet name="11" sheetId="55" r:id="rId14"/>
    <sheet name="12" sheetId="54" r:id="rId15"/>
    <sheet name="13" sheetId="53" r:id="rId16"/>
    <sheet name="14" sheetId="52" r:id="rId17"/>
    <sheet name="15" sheetId="51" r:id="rId18"/>
    <sheet name="16" sheetId="50" r:id="rId19"/>
    <sheet name="17" sheetId="49" r:id="rId20"/>
    <sheet name="18" sheetId="48" r:id="rId21"/>
    <sheet name="19" sheetId="47" r:id="rId22"/>
    <sheet name="20" sheetId="46" r:id="rId23"/>
    <sheet name="21" sheetId="45" r:id="rId24"/>
    <sheet name="22" sheetId="44" r:id="rId25"/>
    <sheet name="23" sheetId="43" r:id="rId26"/>
    <sheet name="24" sheetId="42" r:id="rId27"/>
    <sheet name="25" sheetId="41" r:id="rId28"/>
    <sheet name="26" sheetId="40" r:id="rId29"/>
    <sheet name="27" sheetId="39" r:id="rId30"/>
    <sheet name="28" sheetId="38" r:id="rId31"/>
    <sheet name="29" sheetId="1" r:id="rId32"/>
    <sheet name="30" sheetId="68" r:id="rId33"/>
    <sheet name="31" sheetId="69" r:id="rId34"/>
    <sheet name="Sheet1" sheetId="71" r:id="rId35"/>
  </sheets>
  <externalReferences>
    <externalReference r:id="rId36"/>
    <externalReference r:id="rId37"/>
  </externalReferences>
  <definedNames>
    <definedName name="_xlnm.Print_Titles" localSheetId="1">'BC P-KHDT'!$9:$11</definedName>
  </definedNames>
  <calcPr calcId="124519"/>
</workbook>
</file>

<file path=xl/calcChain.xml><?xml version="1.0" encoding="utf-8"?>
<calcChain xmlns="http://schemas.openxmlformats.org/spreadsheetml/2006/main">
  <c r="G50" i="35"/>
  <c r="F50"/>
  <c r="E50"/>
  <c r="C50"/>
  <c r="B50"/>
  <c r="M58"/>
  <c r="J58"/>
  <c r="D57" l="1"/>
  <c r="L57" s="1"/>
  <c r="M57" s="1"/>
  <c r="I57" l="1"/>
  <c r="J57"/>
  <c r="D56" l="1"/>
  <c r="D50" s="1"/>
  <c r="D40"/>
  <c r="D38"/>
  <c r="D37"/>
  <c r="D35"/>
  <c r="D32"/>
  <c r="D33"/>
  <c r="D31"/>
  <c r="D28"/>
  <c r="D29"/>
  <c r="D27"/>
  <c r="D25"/>
  <c r="D23"/>
  <c r="D21"/>
  <c r="D19"/>
  <c r="D12"/>
  <c r="D13"/>
  <c r="D14"/>
  <c r="D15"/>
  <c r="D16"/>
  <c r="D17"/>
  <c r="D11"/>
  <c r="H31" i="70"/>
  <c r="L56" i="35" l="1"/>
  <c r="L50" s="1"/>
  <c r="J56"/>
  <c r="I56"/>
  <c r="H50" s="1"/>
  <c r="I50"/>
  <c r="I40" i="70"/>
  <c r="I39"/>
  <c r="I38"/>
  <c r="I37"/>
  <c r="I36"/>
  <c r="I31"/>
  <c r="M56" i="35" l="1"/>
  <c r="M50" s="1"/>
  <c r="D75" i="68"/>
  <c r="J77"/>
  <c r="J76"/>
  <c r="D75" i="1"/>
  <c r="J76" i="38"/>
  <c r="J75"/>
  <c r="E21" i="70"/>
  <c r="E22"/>
  <c r="E24"/>
  <c r="E25"/>
  <c r="E26"/>
  <c r="E27"/>
  <c r="E28"/>
  <c r="E29"/>
  <c r="E31"/>
  <c r="E33"/>
  <c r="E34"/>
  <c r="E35"/>
  <c r="E36"/>
  <c r="E37"/>
  <c r="E38"/>
  <c r="E39"/>
  <c r="E41"/>
  <c r="E14"/>
  <c r="E15"/>
  <c r="E16"/>
  <c r="E17"/>
  <c r="E18"/>
  <c r="E19"/>
  <c r="E20"/>
  <c r="E13"/>
  <c r="D55" i="35"/>
  <c r="D54" s="1"/>
  <c r="R15" i="70"/>
  <c r="S15"/>
  <c r="T15"/>
  <c r="T25"/>
  <c r="D76" i="63"/>
  <c r="D76" i="37"/>
  <c r="D75" i="43"/>
  <c r="J77" i="44"/>
  <c r="J76"/>
  <c r="D39" i="47"/>
  <c r="K59" i="48"/>
  <c r="J59"/>
  <c r="J77" i="50"/>
  <c r="J76"/>
  <c r="D76" i="51"/>
  <c r="I21" i="52"/>
  <c r="G21"/>
  <c r="K59"/>
  <c r="J59"/>
  <c r="M76" i="53"/>
  <c r="D76"/>
  <c r="C30" i="6"/>
  <c r="M76" i="54"/>
  <c r="M75"/>
  <c r="M79" i="56"/>
  <c r="M78"/>
  <c r="M77"/>
  <c r="K59" i="58"/>
  <c r="J59"/>
  <c r="E54" i="35"/>
  <c r="C54"/>
  <c r="B54"/>
  <c r="D76" i="62" l="1"/>
  <c r="C32" i="6"/>
  <c r="C76" i="69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D68"/>
  <c r="C68"/>
  <c r="L67"/>
  <c r="L73" s="1"/>
  <c r="C67"/>
  <c r="C77" s="1"/>
  <c r="L70" s="1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K53"/>
  <c r="H53"/>
  <c r="E53"/>
  <c r="I53" s="1"/>
  <c r="L52"/>
  <c r="K52"/>
  <c r="H52"/>
  <c r="G52"/>
  <c r="F52"/>
  <c r="E52"/>
  <c r="D52"/>
  <c r="C52"/>
  <c r="G51"/>
  <c r="H51" s="1"/>
  <c r="I51" s="1"/>
  <c r="J51" s="1"/>
  <c r="M51" s="1"/>
  <c r="E51"/>
  <c r="E50"/>
  <c r="G50" s="1"/>
  <c r="L49"/>
  <c r="E49"/>
  <c r="D49"/>
  <c r="G48"/>
  <c r="H48" s="1"/>
  <c r="E48"/>
  <c r="L47"/>
  <c r="G47"/>
  <c r="E47"/>
  <c r="D47"/>
  <c r="J46"/>
  <c r="I46"/>
  <c r="H46"/>
  <c r="K46" s="1"/>
  <c r="G46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G38"/>
  <c r="H38" s="1"/>
  <c r="E38"/>
  <c r="L37"/>
  <c r="K37"/>
  <c r="G37"/>
  <c r="E37"/>
  <c r="D37"/>
  <c r="J36"/>
  <c r="M36" s="1"/>
  <c r="H36"/>
  <c r="E36"/>
  <c r="K35"/>
  <c r="H35"/>
  <c r="E35"/>
  <c r="I35" s="1"/>
  <c r="J35" s="1"/>
  <c r="M35" s="1"/>
  <c r="K34"/>
  <c r="H34"/>
  <c r="E34"/>
  <c r="I34" s="1"/>
  <c r="L33"/>
  <c r="K33"/>
  <c r="H33"/>
  <c r="G33"/>
  <c r="F33"/>
  <c r="E33"/>
  <c r="D33"/>
  <c r="C33"/>
  <c r="E32"/>
  <c r="G32" s="1"/>
  <c r="L31"/>
  <c r="K31"/>
  <c r="F31"/>
  <c r="E31"/>
  <c r="D31"/>
  <c r="C31"/>
  <c r="H30"/>
  <c r="K30" s="1"/>
  <c r="E30"/>
  <c r="I30" s="1"/>
  <c r="J30" s="1"/>
  <c r="H29"/>
  <c r="K29" s="1"/>
  <c r="K28" s="1"/>
  <c r="E29"/>
  <c r="I29" s="1"/>
  <c r="L28"/>
  <c r="H28"/>
  <c r="G28"/>
  <c r="F28"/>
  <c r="E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1" s="1"/>
  <c r="G20" s="1"/>
  <c r="H21" s="1"/>
  <c r="L20"/>
  <c r="K20"/>
  <c r="E20"/>
  <c r="D20"/>
  <c r="H19"/>
  <c r="K19" s="1"/>
  <c r="G19"/>
  <c r="E19"/>
  <c r="G18"/>
  <c r="H18" s="1"/>
  <c r="E18"/>
  <c r="H17"/>
  <c r="K17" s="1"/>
  <c r="G17"/>
  <c r="E17"/>
  <c r="G16"/>
  <c r="H16" s="1"/>
  <c r="E16"/>
  <c r="H15"/>
  <c r="K15" s="1"/>
  <c r="G15"/>
  <c r="E15"/>
  <c r="F14"/>
  <c r="H14" s="1"/>
  <c r="E14"/>
  <c r="L13"/>
  <c r="G13"/>
  <c r="F13"/>
  <c r="E13"/>
  <c r="D13"/>
  <c r="C13"/>
  <c r="E12"/>
  <c r="G12" s="1"/>
  <c r="K11"/>
  <c r="H11"/>
  <c r="E11"/>
  <c r="I11" s="1"/>
  <c r="J11" s="1"/>
  <c r="M11" s="1"/>
  <c r="K10"/>
  <c r="H10"/>
  <c r="E10"/>
  <c r="I10" s="1"/>
  <c r="J10" s="1"/>
  <c r="M10" s="1"/>
  <c r="F9"/>
  <c r="H9" s="1"/>
  <c r="E9"/>
  <c r="L8"/>
  <c r="F8"/>
  <c r="F64" s="1"/>
  <c r="E8"/>
  <c r="D8"/>
  <c r="D64" s="1"/>
  <c r="C8"/>
  <c r="C64" s="1"/>
  <c r="C76" i="68"/>
  <c r="C75"/>
  <c r="C74"/>
  <c r="D74" s="1"/>
  <c r="C73"/>
  <c r="D73" s="1"/>
  <c r="M72"/>
  <c r="C72"/>
  <c r="D72" s="1"/>
  <c r="M71"/>
  <c r="L71"/>
  <c r="D71"/>
  <c r="C7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I53" s="1"/>
  <c r="L52"/>
  <c r="H52"/>
  <c r="G52"/>
  <c r="F52"/>
  <c r="E52"/>
  <c r="D52"/>
  <c r="C52"/>
  <c r="E51"/>
  <c r="G51" s="1"/>
  <c r="H51" s="1"/>
  <c r="I51" s="1"/>
  <c r="J51" s="1"/>
  <c r="M51" s="1"/>
  <c r="E50"/>
  <c r="G50" s="1"/>
  <c r="L49"/>
  <c r="E49"/>
  <c r="D49"/>
  <c r="G48"/>
  <c r="H48" s="1"/>
  <c r="E48"/>
  <c r="L47"/>
  <c r="G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G43"/>
  <c r="H43" s="1"/>
  <c r="E43"/>
  <c r="H42"/>
  <c r="K42" s="1"/>
  <c r="E42"/>
  <c r="E41"/>
  <c r="I41" s="1"/>
  <c r="J41" s="1"/>
  <c r="E40"/>
  <c r="G40" s="1"/>
  <c r="H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K14" s="1"/>
  <c r="E14"/>
  <c r="L13"/>
  <c r="F13"/>
  <c r="E13"/>
  <c r="D13"/>
  <c r="C13"/>
  <c r="E12"/>
  <c r="G12" s="1"/>
  <c r="H11"/>
  <c r="K11" s="1"/>
  <c r="E11"/>
  <c r="H10"/>
  <c r="K10" s="1"/>
  <c r="E10"/>
  <c r="E8" s="1"/>
  <c r="E9"/>
  <c r="F9" s="1"/>
  <c r="L8"/>
  <c r="D8"/>
  <c r="D64" s="1"/>
  <c r="C8"/>
  <c r="C76" i="1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E52" s="1"/>
  <c r="L52"/>
  <c r="G52"/>
  <c r="F52"/>
  <c r="D52"/>
  <c r="C52"/>
  <c r="E51"/>
  <c r="G51" s="1"/>
  <c r="H51" s="1"/>
  <c r="I51" s="1"/>
  <c r="J51" s="1"/>
  <c r="M51" s="1"/>
  <c r="E50"/>
  <c r="L49"/>
  <c r="D49"/>
  <c r="G48"/>
  <c r="H48" s="1"/>
  <c r="E48"/>
  <c r="L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E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E20"/>
  <c r="D20"/>
  <c r="G19"/>
  <c r="H19" s="1"/>
  <c r="E19"/>
  <c r="G18"/>
  <c r="H18" s="1"/>
  <c r="E18"/>
  <c r="G17"/>
  <c r="H17" s="1"/>
  <c r="E17"/>
  <c r="G16"/>
  <c r="H16" s="1"/>
  <c r="K16" s="1"/>
  <c r="E16"/>
  <c r="G15"/>
  <c r="H15" s="1"/>
  <c r="E15"/>
  <c r="F14"/>
  <c r="H14" s="1"/>
  <c r="E14"/>
  <c r="L13"/>
  <c r="F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L8"/>
  <c r="D8"/>
  <c r="D64" s="1"/>
  <c r="C8"/>
  <c r="C64" s="1"/>
  <c r="C76" i="38"/>
  <c r="C75"/>
  <c r="C74"/>
  <c r="D74" s="1"/>
  <c r="C73"/>
  <c r="D73" s="1"/>
  <c r="M72"/>
  <c r="C72"/>
  <c r="D72" s="1"/>
  <c r="M71"/>
  <c r="L71"/>
  <c r="D71"/>
  <c r="C7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K53"/>
  <c r="H53"/>
  <c r="E53"/>
  <c r="I53" s="1"/>
  <c r="L52"/>
  <c r="K52"/>
  <c r="H52"/>
  <c r="G52"/>
  <c r="F52"/>
  <c r="E52"/>
  <c r="D52"/>
  <c r="C52"/>
  <c r="E51"/>
  <c r="G51" s="1"/>
  <c r="H51" s="1"/>
  <c r="I51" s="1"/>
  <c r="J51" s="1"/>
  <c r="M51" s="1"/>
  <c r="E50"/>
  <c r="G50" s="1"/>
  <c r="L49"/>
  <c r="D49"/>
  <c r="H48"/>
  <c r="K48" s="1"/>
  <c r="K47" s="1"/>
  <c r="G48"/>
  <c r="E48"/>
  <c r="L47"/>
  <c r="H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E44"/>
  <c r="D44"/>
  <c r="G43"/>
  <c r="H43" s="1"/>
  <c r="E43"/>
  <c r="H42"/>
  <c r="K42" s="1"/>
  <c r="E42"/>
  <c r="E41"/>
  <c r="I41" s="1"/>
  <c r="J41" s="1"/>
  <c r="E40"/>
  <c r="G40" s="1"/>
  <c r="H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8" s="1"/>
  <c r="E9"/>
  <c r="F9" s="1"/>
  <c r="L8"/>
  <c r="D8"/>
  <c r="D64" s="1"/>
  <c r="C8"/>
  <c r="C76" i="39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G55"/>
  <c r="H55" s="1"/>
  <c r="E55"/>
  <c r="L54"/>
  <c r="G54"/>
  <c r="F54"/>
  <c r="E54"/>
  <c r="D54"/>
  <c r="C54"/>
  <c r="K53"/>
  <c r="H53"/>
  <c r="E53"/>
  <c r="I53" s="1"/>
  <c r="L52"/>
  <c r="K52"/>
  <c r="H52"/>
  <c r="G52"/>
  <c r="F52"/>
  <c r="E52"/>
  <c r="D52"/>
  <c r="C52"/>
  <c r="E51"/>
  <c r="G51" s="1"/>
  <c r="H51" s="1"/>
  <c r="I51" s="1"/>
  <c r="J51" s="1"/>
  <c r="M51" s="1"/>
  <c r="E50"/>
  <c r="G50" s="1"/>
  <c r="L49"/>
  <c r="E49"/>
  <c r="D49"/>
  <c r="H48"/>
  <c r="K48" s="1"/>
  <c r="K47" s="1"/>
  <c r="G48"/>
  <c r="E48"/>
  <c r="L47"/>
  <c r="H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E37"/>
  <c r="D37"/>
  <c r="J36"/>
  <c r="M36" s="1"/>
  <c r="H36"/>
  <c r="H33" s="1"/>
  <c r="E36"/>
  <c r="H35"/>
  <c r="K35" s="1"/>
  <c r="E35"/>
  <c r="H34"/>
  <c r="K34" s="1"/>
  <c r="K33" s="1"/>
  <c r="E34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1" s="1"/>
  <c r="G20" s="1"/>
  <c r="H21" s="1"/>
  <c r="L20"/>
  <c r="K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8" s="1"/>
  <c r="E9"/>
  <c r="F9" s="1"/>
  <c r="L8"/>
  <c r="D8"/>
  <c r="D64" s="1"/>
  <c r="C8"/>
  <c r="C76" i="40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I53" s="1"/>
  <c r="L52"/>
  <c r="H52"/>
  <c r="G52"/>
  <c r="F52"/>
  <c r="E52"/>
  <c r="D52"/>
  <c r="C52"/>
  <c r="E51"/>
  <c r="H51" s="1"/>
  <c r="I51" s="1"/>
  <c r="J51" s="1"/>
  <c r="M51" s="1"/>
  <c r="E50"/>
  <c r="G50" s="1"/>
  <c r="L49"/>
  <c r="D49"/>
  <c r="G48"/>
  <c r="H48" s="1"/>
  <c r="E48"/>
  <c r="L47"/>
  <c r="G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G43"/>
  <c r="H43" s="1"/>
  <c r="E43"/>
  <c r="H42"/>
  <c r="K42" s="1"/>
  <c r="E42"/>
  <c r="E41"/>
  <c r="I41" s="1"/>
  <c r="J41" s="1"/>
  <c r="E40"/>
  <c r="G40" s="1"/>
  <c r="H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D31"/>
  <c r="C31"/>
  <c r="H30"/>
  <c r="K30" s="1"/>
  <c r="E30"/>
  <c r="G28" i="35" s="1"/>
  <c r="H29" i="40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L22"/>
  <c r="D22"/>
  <c r="E23" s="1"/>
  <c r="E21"/>
  <c r="G21" s="1"/>
  <c r="G20" s="1"/>
  <c r="H21" s="1"/>
  <c r="L20"/>
  <c r="K20"/>
  <c r="E20"/>
  <c r="D20"/>
  <c r="G19"/>
  <c r="H19" s="1"/>
  <c r="E19"/>
  <c r="G17" i="35" s="1"/>
  <c r="G18" i="40"/>
  <c r="H18" s="1"/>
  <c r="K18" s="1"/>
  <c r="E18"/>
  <c r="G17"/>
  <c r="H17" s="1"/>
  <c r="E17"/>
  <c r="G16"/>
  <c r="H16" s="1"/>
  <c r="K16" s="1"/>
  <c r="E16"/>
  <c r="G15"/>
  <c r="H15" s="1"/>
  <c r="E15"/>
  <c r="F14"/>
  <c r="H14" s="1"/>
  <c r="K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E8"/>
  <c r="D8"/>
  <c r="D64" s="1"/>
  <c r="C8"/>
  <c r="C64" s="1"/>
  <c r="C76" i="41"/>
  <c r="C75"/>
  <c r="C74"/>
  <c r="D74" s="1"/>
  <c r="D73"/>
  <c r="C73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L52"/>
  <c r="H52"/>
  <c r="G52"/>
  <c r="F52"/>
  <c r="E52"/>
  <c r="D52"/>
  <c r="C52"/>
  <c r="E51"/>
  <c r="H51" s="1"/>
  <c r="I51" s="1"/>
  <c r="J51" s="1"/>
  <c r="M51" s="1"/>
  <c r="E50"/>
  <c r="L49"/>
  <c r="D49"/>
  <c r="G48"/>
  <c r="H48" s="1"/>
  <c r="E48"/>
  <c r="L47"/>
  <c r="G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G43"/>
  <c r="H43" s="1"/>
  <c r="E43"/>
  <c r="H42"/>
  <c r="K42" s="1"/>
  <c r="E42"/>
  <c r="E41"/>
  <c r="I41" s="1"/>
  <c r="J41" s="1"/>
  <c r="E40"/>
  <c r="G40" s="1"/>
  <c r="H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K18" s="1"/>
  <c r="E18"/>
  <c r="G17"/>
  <c r="H17" s="1"/>
  <c r="E17"/>
  <c r="G16"/>
  <c r="H16" s="1"/>
  <c r="K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I11" s="1"/>
  <c r="J11" s="1"/>
  <c r="M11" s="1"/>
  <c r="H10"/>
  <c r="K10" s="1"/>
  <c r="E10"/>
  <c r="I10" s="1"/>
  <c r="J10" s="1"/>
  <c r="E9"/>
  <c r="F9" s="1"/>
  <c r="L8"/>
  <c r="D8"/>
  <c r="D64" s="1"/>
  <c r="C8"/>
  <c r="C76" i="42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K61"/>
  <c r="H61"/>
  <c r="E61"/>
  <c r="I61" s="1"/>
  <c r="K60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K53"/>
  <c r="H53"/>
  <c r="E53"/>
  <c r="I53" s="1"/>
  <c r="L52"/>
  <c r="K52"/>
  <c r="H52"/>
  <c r="G52"/>
  <c r="F52"/>
  <c r="E52"/>
  <c r="D52"/>
  <c r="C52"/>
  <c r="E51"/>
  <c r="G51" s="1"/>
  <c r="H51" s="1"/>
  <c r="I51" s="1"/>
  <c r="J51" s="1"/>
  <c r="M51" s="1"/>
  <c r="E50"/>
  <c r="L49"/>
  <c r="E49"/>
  <c r="D49"/>
  <c r="G48"/>
  <c r="H48" s="1"/>
  <c r="E48"/>
  <c r="L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E37"/>
  <c r="D37"/>
  <c r="J36"/>
  <c r="M36" s="1"/>
  <c r="H36"/>
  <c r="E36"/>
  <c r="H35"/>
  <c r="K35" s="1"/>
  <c r="E35"/>
  <c r="H34"/>
  <c r="K34" s="1"/>
  <c r="K33" s="1"/>
  <c r="E34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I11" s="1"/>
  <c r="J11" s="1"/>
  <c r="H10"/>
  <c r="K10" s="1"/>
  <c r="E10"/>
  <c r="E9"/>
  <c r="F9" s="1"/>
  <c r="L8"/>
  <c r="D8"/>
  <c r="D64" s="1"/>
  <c r="C8"/>
  <c r="C76" i="43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C77" s="1"/>
  <c r="L70" s="1"/>
  <c r="M66"/>
  <c r="M65"/>
  <c r="M63"/>
  <c r="M62"/>
  <c r="H61"/>
  <c r="K61" s="1"/>
  <c r="K60" s="1"/>
  <c r="E61"/>
  <c r="I61" s="1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K53"/>
  <c r="H53"/>
  <c r="E53"/>
  <c r="I53" s="1"/>
  <c r="L52"/>
  <c r="K52"/>
  <c r="H52"/>
  <c r="G52"/>
  <c r="F52"/>
  <c r="E52"/>
  <c r="D52"/>
  <c r="C52"/>
  <c r="E51"/>
  <c r="G51" s="1"/>
  <c r="H51" s="1"/>
  <c r="I51" s="1"/>
  <c r="J51" s="1"/>
  <c r="M51" s="1"/>
  <c r="E50"/>
  <c r="G50" s="1"/>
  <c r="L49"/>
  <c r="E49"/>
  <c r="D49"/>
  <c r="G48"/>
  <c r="H48" s="1"/>
  <c r="E48"/>
  <c r="L47"/>
  <c r="G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E29"/>
  <c r="I29" s="1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F13"/>
  <c r="E13"/>
  <c r="D13"/>
  <c r="C13"/>
  <c r="E12"/>
  <c r="G12" s="1"/>
  <c r="H11"/>
  <c r="K11" s="1"/>
  <c r="E11"/>
  <c r="I11" s="1"/>
  <c r="J11" s="1"/>
  <c r="H10"/>
  <c r="K10" s="1"/>
  <c r="E10"/>
  <c r="I10" s="1"/>
  <c r="J10" s="1"/>
  <c r="E9"/>
  <c r="F9" s="1"/>
  <c r="L8"/>
  <c r="D8"/>
  <c r="C8"/>
  <c r="C76" i="44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8" s="1"/>
  <c r="L58"/>
  <c r="H58"/>
  <c r="G58"/>
  <c r="D58"/>
  <c r="E59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I53" s="1"/>
  <c r="L52"/>
  <c r="H52"/>
  <c r="G52"/>
  <c r="F52"/>
  <c r="E52"/>
  <c r="D52"/>
  <c r="C52"/>
  <c r="E51"/>
  <c r="G51" s="1"/>
  <c r="H51" s="1"/>
  <c r="I51" s="1"/>
  <c r="J51" s="1"/>
  <c r="M51" s="1"/>
  <c r="E50"/>
  <c r="G50" s="1"/>
  <c r="L49"/>
  <c r="E49"/>
  <c r="D49"/>
  <c r="H48"/>
  <c r="K48" s="1"/>
  <c r="K47" s="1"/>
  <c r="G48"/>
  <c r="E48"/>
  <c r="L47"/>
  <c r="H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E44"/>
  <c r="D44"/>
  <c r="E43"/>
  <c r="G43" s="1"/>
  <c r="H43" s="1"/>
  <c r="H42"/>
  <c r="K42" s="1"/>
  <c r="E42"/>
  <c r="G41"/>
  <c r="H41" s="1"/>
  <c r="K41" s="1"/>
  <c r="E41"/>
  <c r="I41" s="1"/>
  <c r="J41" s="1"/>
  <c r="E40"/>
  <c r="G40" s="1"/>
  <c r="L39"/>
  <c r="E39"/>
  <c r="D39"/>
  <c r="E38"/>
  <c r="G38" s="1"/>
  <c r="L37"/>
  <c r="K37"/>
  <c r="E37"/>
  <c r="D37"/>
  <c r="J36"/>
  <c r="M36" s="1"/>
  <c r="H36"/>
  <c r="H33" s="1"/>
  <c r="E36"/>
  <c r="H35"/>
  <c r="K35" s="1"/>
  <c r="E35"/>
  <c r="H34"/>
  <c r="K34" s="1"/>
  <c r="E34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K15" s="1"/>
  <c r="E15"/>
  <c r="F14"/>
  <c r="H14" s="1"/>
  <c r="E14"/>
  <c r="L13"/>
  <c r="G13"/>
  <c r="F13"/>
  <c r="E13"/>
  <c r="D13"/>
  <c r="C13"/>
  <c r="E12"/>
  <c r="G12" s="1"/>
  <c r="H11"/>
  <c r="K11" s="1"/>
  <c r="E11"/>
  <c r="I11" s="1"/>
  <c r="J11" s="1"/>
  <c r="H10"/>
  <c r="K10" s="1"/>
  <c r="E10"/>
  <c r="I10" s="1"/>
  <c r="J10" s="1"/>
  <c r="E9"/>
  <c r="F9" s="1"/>
  <c r="H9" s="1"/>
  <c r="L8"/>
  <c r="D8"/>
  <c r="D64" s="1"/>
  <c r="C8"/>
  <c r="C76" i="45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I61" s="1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K53"/>
  <c r="H53"/>
  <c r="E53"/>
  <c r="I53" s="1"/>
  <c r="L52"/>
  <c r="K52"/>
  <c r="H52"/>
  <c r="G52"/>
  <c r="F52"/>
  <c r="E52"/>
  <c r="D52"/>
  <c r="C52"/>
  <c r="E51"/>
  <c r="G51" s="1"/>
  <c r="H51" s="1"/>
  <c r="I51" s="1"/>
  <c r="J51" s="1"/>
  <c r="M51" s="1"/>
  <c r="E50"/>
  <c r="G50" s="1"/>
  <c r="L49"/>
  <c r="E49"/>
  <c r="D49"/>
  <c r="G48"/>
  <c r="H48" s="1"/>
  <c r="E48"/>
  <c r="L47"/>
  <c r="G47"/>
  <c r="D47"/>
  <c r="E47" s="1"/>
  <c r="I46"/>
  <c r="J46" s="1"/>
  <c r="G46"/>
  <c r="H46" s="1"/>
  <c r="K46" s="1"/>
  <c r="E46"/>
  <c r="I45"/>
  <c r="J45" s="1"/>
  <c r="G45"/>
  <c r="H45" s="1"/>
  <c r="E45"/>
  <c r="L44"/>
  <c r="I44"/>
  <c r="E44"/>
  <c r="D44"/>
  <c r="G43"/>
  <c r="H43" s="1"/>
  <c r="E43"/>
  <c r="H42"/>
  <c r="K42" s="1"/>
  <c r="E42"/>
  <c r="E41"/>
  <c r="I41" s="1"/>
  <c r="J41" s="1"/>
  <c r="G40"/>
  <c r="H40" s="1"/>
  <c r="E40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D31"/>
  <c r="C31"/>
  <c r="H30"/>
  <c r="K30" s="1"/>
  <c r="E30"/>
  <c r="H29"/>
  <c r="K29" s="1"/>
  <c r="K28" s="1"/>
  <c r="E29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K17" s="1"/>
  <c r="E17"/>
  <c r="G16"/>
  <c r="H16" s="1"/>
  <c r="E16"/>
  <c r="G15"/>
  <c r="H15" s="1"/>
  <c r="E15"/>
  <c r="F14"/>
  <c r="H14" s="1"/>
  <c r="E14"/>
  <c r="L13"/>
  <c r="F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L8"/>
  <c r="D8"/>
  <c r="D64" s="1"/>
  <c r="C8"/>
  <c r="C64" s="1"/>
  <c r="C76" i="46"/>
  <c r="C75"/>
  <c r="C74"/>
  <c r="D74" s="1"/>
  <c r="D73"/>
  <c r="C73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D67" s="1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D54"/>
  <c r="C54"/>
  <c r="H53"/>
  <c r="K53" s="1"/>
  <c r="K52" s="1"/>
  <c r="E53"/>
  <c r="L52"/>
  <c r="G52"/>
  <c r="F52"/>
  <c r="E52"/>
  <c r="D52"/>
  <c r="C52"/>
  <c r="E51"/>
  <c r="G51" s="1"/>
  <c r="H51" s="1"/>
  <c r="I51" s="1"/>
  <c r="J51" s="1"/>
  <c r="M51" s="1"/>
  <c r="E50"/>
  <c r="G50" s="1"/>
  <c r="L49"/>
  <c r="E49"/>
  <c r="D49"/>
  <c r="H48"/>
  <c r="K48" s="1"/>
  <c r="K47" s="1"/>
  <c r="G48"/>
  <c r="E48"/>
  <c r="L47"/>
  <c r="H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G43"/>
  <c r="H43" s="1"/>
  <c r="E43"/>
  <c r="H42"/>
  <c r="K42" s="1"/>
  <c r="E42"/>
  <c r="E41"/>
  <c r="I41" s="1"/>
  <c r="J41" s="1"/>
  <c r="E40"/>
  <c r="G40" s="1"/>
  <c r="H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E20"/>
  <c r="D20"/>
  <c r="G19"/>
  <c r="H19" s="1"/>
  <c r="E19"/>
  <c r="G18"/>
  <c r="H18" s="1"/>
  <c r="K18" s="1"/>
  <c r="E18"/>
  <c r="G17"/>
  <c r="H17" s="1"/>
  <c r="E17"/>
  <c r="G16"/>
  <c r="H16" s="1"/>
  <c r="K16" s="1"/>
  <c r="E16"/>
  <c r="G15"/>
  <c r="H15" s="1"/>
  <c r="E15"/>
  <c r="F14"/>
  <c r="H14" s="1"/>
  <c r="K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D64" s="1"/>
  <c r="C8"/>
  <c r="C76" i="47"/>
  <c r="C75"/>
  <c r="C74"/>
  <c r="D74" s="1"/>
  <c r="D73"/>
  <c r="C73"/>
  <c r="M72"/>
  <c r="C72"/>
  <c r="D72" s="1"/>
  <c r="M71"/>
  <c r="L71"/>
  <c r="C71"/>
  <c r="D71" s="1"/>
  <c r="C70"/>
  <c r="D70" s="1"/>
  <c r="C69"/>
  <c r="D69" s="1"/>
  <c r="C68"/>
  <c r="L67"/>
  <c r="L73" s="1"/>
  <c r="C67"/>
  <c r="D67" s="1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G58"/>
  <c r="D58"/>
  <c r="E59" s="1"/>
  <c r="E58" s="1"/>
  <c r="C58"/>
  <c r="L56"/>
  <c r="F56"/>
  <c r="D56"/>
  <c r="E57" s="1"/>
  <c r="C56"/>
  <c r="E55"/>
  <c r="G55" s="1"/>
  <c r="L54"/>
  <c r="F54"/>
  <c r="D54"/>
  <c r="C54"/>
  <c r="H53"/>
  <c r="K53" s="1"/>
  <c r="K52" s="1"/>
  <c r="E53"/>
  <c r="L52"/>
  <c r="G52"/>
  <c r="F52"/>
  <c r="E52"/>
  <c r="D52"/>
  <c r="C52"/>
  <c r="E51"/>
  <c r="G51" s="1"/>
  <c r="E50"/>
  <c r="G50" s="1"/>
  <c r="H50" s="1"/>
  <c r="L49"/>
  <c r="D49"/>
  <c r="G48"/>
  <c r="H48" s="1"/>
  <c r="E48"/>
  <c r="L47"/>
  <c r="D47"/>
  <c r="E47" s="1"/>
  <c r="I46"/>
  <c r="J46" s="1"/>
  <c r="G46"/>
  <c r="H46" s="1"/>
  <c r="E46"/>
  <c r="I45"/>
  <c r="J45" s="1"/>
  <c r="G45"/>
  <c r="H45" s="1"/>
  <c r="K45" s="1"/>
  <c r="E45"/>
  <c r="L44"/>
  <c r="E44"/>
  <c r="D44"/>
  <c r="E43"/>
  <c r="G43" s="1"/>
  <c r="H43" s="1"/>
  <c r="K42"/>
  <c r="H42"/>
  <c r="E42"/>
  <c r="I42" s="1"/>
  <c r="J42" s="1"/>
  <c r="M42" s="1"/>
  <c r="I41"/>
  <c r="J41" s="1"/>
  <c r="G41"/>
  <c r="H41" s="1"/>
  <c r="K41" s="1"/>
  <c r="E41"/>
  <c r="E40"/>
  <c r="G40" s="1"/>
  <c r="L39"/>
  <c r="E39"/>
  <c r="E38"/>
  <c r="G38" s="1"/>
  <c r="L37"/>
  <c r="K37"/>
  <c r="E37"/>
  <c r="D37"/>
  <c r="J36"/>
  <c r="M36" s="1"/>
  <c r="H36"/>
  <c r="E36"/>
  <c r="H35"/>
  <c r="K35" s="1"/>
  <c r="E35"/>
  <c r="H34"/>
  <c r="K34" s="1"/>
  <c r="E34"/>
  <c r="I34" s="1"/>
  <c r="L33"/>
  <c r="H33"/>
  <c r="G33"/>
  <c r="F33"/>
  <c r="D33"/>
  <c r="C33"/>
  <c r="E32"/>
  <c r="G32" s="1"/>
  <c r="L31"/>
  <c r="K31"/>
  <c r="F31"/>
  <c r="E31"/>
  <c r="D31"/>
  <c r="C31"/>
  <c r="H30"/>
  <c r="K30" s="1"/>
  <c r="E30"/>
  <c r="I30" s="1"/>
  <c r="J30" s="1"/>
  <c r="H29"/>
  <c r="K29" s="1"/>
  <c r="E29"/>
  <c r="L28"/>
  <c r="H28"/>
  <c r="G28"/>
  <c r="F28"/>
  <c r="D28"/>
  <c r="C28"/>
  <c r="L26"/>
  <c r="D26"/>
  <c r="E27" s="1"/>
  <c r="H25"/>
  <c r="K25" s="1"/>
  <c r="K24" s="1"/>
  <c r="L24"/>
  <c r="G24"/>
  <c r="D24"/>
  <c r="E25" s="1"/>
  <c r="E24" s="1"/>
  <c r="L22"/>
  <c r="D22"/>
  <c r="E21"/>
  <c r="G21" s="1"/>
  <c r="G20" s="1"/>
  <c r="H21" s="1"/>
  <c r="L20"/>
  <c r="K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G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H9" s="1"/>
  <c r="L8"/>
  <c r="D8"/>
  <c r="C8"/>
  <c r="C64" s="1"/>
  <c r="C76" i="48"/>
  <c r="C75"/>
  <c r="D74"/>
  <c r="C74"/>
  <c r="C73"/>
  <c r="D73" s="1"/>
  <c r="M72"/>
  <c r="D72"/>
  <c r="C72"/>
  <c r="M71"/>
  <c r="L71"/>
  <c r="D71"/>
  <c r="C7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8" s="1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H53"/>
  <c r="K53" s="1"/>
  <c r="K52" s="1"/>
  <c r="E53"/>
  <c r="L52"/>
  <c r="H52"/>
  <c r="G52"/>
  <c r="F52"/>
  <c r="E52"/>
  <c r="D52"/>
  <c r="C52"/>
  <c r="E51"/>
  <c r="G51" s="1"/>
  <c r="H51" s="1"/>
  <c r="I51" s="1"/>
  <c r="J51" s="1"/>
  <c r="M51" s="1"/>
  <c r="E50"/>
  <c r="G50" s="1"/>
  <c r="L49"/>
  <c r="E49"/>
  <c r="D49"/>
  <c r="H48"/>
  <c r="K48" s="1"/>
  <c r="K47" s="1"/>
  <c r="G48"/>
  <c r="E48"/>
  <c r="L47"/>
  <c r="H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E37"/>
  <c r="D37"/>
  <c r="J36"/>
  <c r="M36" s="1"/>
  <c r="H36"/>
  <c r="E36"/>
  <c r="H35"/>
  <c r="K35" s="1"/>
  <c r="E35"/>
  <c r="K34"/>
  <c r="H34"/>
  <c r="E34"/>
  <c r="I34" s="1"/>
  <c r="L33"/>
  <c r="H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E29"/>
  <c r="I29" s="1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F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L8"/>
  <c r="D8"/>
  <c r="D64" s="1"/>
  <c r="C8"/>
  <c r="C64" s="1"/>
  <c r="C76" i="49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K61"/>
  <c r="H61"/>
  <c r="E61"/>
  <c r="I61" s="1"/>
  <c r="K60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H53"/>
  <c r="K53" s="1"/>
  <c r="K52" s="1"/>
  <c r="E53"/>
  <c r="I53" s="1"/>
  <c r="L52"/>
  <c r="H52"/>
  <c r="G52"/>
  <c r="F52"/>
  <c r="D52"/>
  <c r="C52"/>
  <c r="E51"/>
  <c r="H51" s="1"/>
  <c r="I51" s="1"/>
  <c r="J51" s="1"/>
  <c r="M51" s="1"/>
  <c r="E50"/>
  <c r="G50" s="1"/>
  <c r="L49"/>
  <c r="E49"/>
  <c r="D49"/>
  <c r="G48"/>
  <c r="H48" s="1"/>
  <c r="E48"/>
  <c r="L47"/>
  <c r="D47"/>
  <c r="E47" s="1"/>
  <c r="I46"/>
  <c r="J46" s="1"/>
  <c r="G46"/>
  <c r="H46" s="1"/>
  <c r="K46" s="1"/>
  <c r="E46"/>
  <c r="I45"/>
  <c r="J45" s="1"/>
  <c r="G45"/>
  <c r="H45" s="1"/>
  <c r="E45"/>
  <c r="L44"/>
  <c r="I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K15" s="1"/>
  <c r="E15"/>
  <c r="F14"/>
  <c r="H14" s="1"/>
  <c r="E14"/>
  <c r="L13"/>
  <c r="F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L8"/>
  <c r="D8"/>
  <c r="D64" s="1"/>
  <c r="C8"/>
  <c r="C64" s="1"/>
  <c r="C76" i="50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L52"/>
  <c r="H52"/>
  <c r="G52"/>
  <c r="F52"/>
  <c r="E52"/>
  <c r="D52"/>
  <c r="C52"/>
  <c r="E51"/>
  <c r="E50"/>
  <c r="G50" s="1"/>
  <c r="H50" s="1"/>
  <c r="L49"/>
  <c r="D49"/>
  <c r="G48"/>
  <c r="H48" s="1"/>
  <c r="E48"/>
  <c r="L47"/>
  <c r="D47"/>
  <c r="E47" s="1"/>
  <c r="I46"/>
  <c r="J46" s="1"/>
  <c r="G46"/>
  <c r="H46" s="1"/>
  <c r="E46"/>
  <c r="I45"/>
  <c r="J45" s="1"/>
  <c r="G45"/>
  <c r="H45" s="1"/>
  <c r="K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E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D64" s="1"/>
  <c r="C8"/>
  <c r="C64" s="1"/>
  <c r="C76" i="51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K53"/>
  <c r="K52" s="1"/>
  <c r="H53"/>
  <c r="E53"/>
  <c r="I53" s="1"/>
  <c r="L52"/>
  <c r="H52"/>
  <c r="G52"/>
  <c r="F52"/>
  <c r="E52"/>
  <c r="D52"/>
  <c r="C52"/>
  <c r="E51"/>
  <c r="H51" s="1"/>
  <c r="I51" s="1"/>
  <c r="J51" s="1"/>
  <c r="M51" s="1"/>
  <c r="E50"/>
  <c r="L49"/>
  <c r="E49"/>
  <c r="D49"/>
  <c r="G48"/>
  <c r="H48" s="1"/>
  <c r="E48"/>
  <c r="L47"/>
  <c r="G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K16" s="1"/>
  <c r="E16"/>
  <c r="G15"/>
  <c r="H15" s="1"/>
  <c r="E15"/>
  <c r="F14"/>
  <c r="H14" s="1"/>
  <c r="K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D64" s="1"/>
  <c r="C8"/>
  <c r="C76" i="52"/>
  <c r="C75"/>
  <c r="C74"/>
  <c r="D74" s="1"/>
  <c r="C73"/>
  <c r="D73" s="1"/>
  <c r="M72"/>
  <c r="D72"/>
  <c r="C72"/>
  <c r="M71"/>
  <c r="L71"/>
  <c r="D71"/>
  <c r="C7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I61" s="1"/>
  <c r="H60"/>
  <c r="G60"/>
  <c r="F60"/>
  <c r="E60"/>
  <c r="D60"/>
  <c r="C60"/>
  <c r="H59"/>
  <c r="K58" s="1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H53"/>
  <c r="K53" s="1"/>
  <c r="K52" s="1"/>
  <c r="E53"/>
  <c r="L52"/>
  <c r="H52"/>
  <c r="G52"/>
  <c r="F52"/>
  <c r="D52"/>
  <c r="C52"/>
  <c r="E51"/>
  <c r="G51" s="1"/>
  <c r="H51" s="1"/>
  <c r="I51" s="1"/>
  <c r="J51" s="1"/>
  <c r="M51" s="1"/>
  <c r="E50"/>
  <c r="G50" s="1"/>
  <c r="L49"/>
  <c r="E49"/>
  <c r="D49"/>
  <c r="H48"/>
  <c r="K48" s="1"/>
  <c r="K47" s="1"/>
  <c r="G48"/>
  <c r="E48"/>
  <c r="L47"/>
  <c r="H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H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L8"/>
  <c r="D8"/>
  <c r="D64" s="1"/>
  <c r="C8"/>
  <c r="C64" s="1"/>
  <c r="C76" i="53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L52"/>
  <c r="H52"/>
  <c r="G52"/>
  <c r="F52"/>
  <c r="E52"/>
  <c r="D52"/>
  <c r="C52"/>
  <c r="E51"/>
  <c r="H51" s="1"/>
  <c r="I51" s="1"/>
  <c r="J51" s="1"/>
  <c r="M51" s="1"/>
  <c r="E50"/>
  <c r="G50" s="1"/>
  <c r="L49"/>
  <c r="D49"/>
  <c r="G48"/>
  <c r="H48" s="1"/>
  <c r="E48"/>
  <c r="L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1" s="1"/>
  <c r="G20" s="1"/>
  <c r="H21" s="1"/>
  <c r="L20"/>
  <c r="K20"/>
  <c r="D20"/>
  <c r="G19"/>
  <c r="H19" s="1"/>
  <c r="K19" s="1"/>
  <c r="E19"/>
  <c r="G18"/>
  <c r="H18" s="1"/>
  <c r="E18"/>
  <c r="H17"/>
  <c r="K17" s="1"/>
  <c r="G17"/>
  <c r="E17"/>
  <c r="G16"/>
  <c r="H16" s="1"/>
  <c r="E16"/>
  <c r="G15"/>
  <c r="H15" s="1"/>
  <c r="E15"/>
  <c r="F14"/>
  <c r="H14" s="1"/>
  <c r="E14"/>
  <c r="L13"/>
  <c r="F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L8"/>
  <c r="D8"/>
  <c r="D64" s="1"/>
  <c r="C8"/>
  <c r="C64" s="1"/>
  <c r="C76" i="54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I61" s="1"/>
  <c r="H60"/>
  <c r="G60"/>
  <c r="F60"/>
  <c r="E60"/>
  <c r="D60"/>
  <c r="C60"/>
  <c r="H59"/>
  <c r="K58" s="1"/>
  <c r="L58"/>
  <c r="H58"/>
  <c r="G58"/>
  <c r="D58"/>
  <c r="E59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E52" s="1"/>
  <c r="L52"/>
  <c r="G52"/>
  <c r="F52"/>
  <c r="D52"/>
  <c r="C52"/>
  <c r="E51"/>
  <c r="H51" s="1"/>
  <c r="I51" s="1"/>
  <c r="J51" s="1"/>
  <c r="M51" s="1"/>
  <c r="E50"/>
  <c r="G50" s="1"/>
  <c r="L49"/>
  <c r="D49"/>
  <c r="H48"/>
  <c r="K48" s="1"/>
  <c r="K47" s="1"/>
  <c r="G48"/>
  <c r="E48"/>
  <c r="L47"/>
  <c r="H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E44"/>
  <c r="D44"/>
  <c r="E43"/>
  <c r="G43" s="1"/>
  <c r="H43" s="1"/>
  <c r="H42"/>
  <c r="K42" s="1"/>
  <c r="E42"/>
  <c r="E41"/>
  <c r="I41" s="1"/>
  <c r="J41" s="1"/>
  <c r="E40"/>
  <c r="G40" s="1"/>
  <c r="H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1" s="1"/>
  <c r="G20" s="1"/>
  <c r="H21" s="1"/>
  <c r="L20"/>
  <c r="K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E15"/>
  <c r="F14"/>
  <c r="H14" s="1"/>
  <c r="E14"/>
  <c r="L13"/>
  <c r="F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L8"/>
  <c r="E8"/>
  <c r="D8"/>
  <c r="D64" s="1"/>
  <c r="C8"/>
  <c r="C76" i="55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L52"/>
  <c r="H52"/>
  <c r="G52"/>
  <c r="F52"/>
  <c r="E52"/>
  <c r="D52"/>
  <c r="C52"/>
  <c r="E51"/>
  <c r="H51" s="1"/>
  <c r="I51" s="1"/>
  <c r="J51" s="1"/>
  <c r="M51" s="1"/>
  <c r="E50"/>
  <c r="G50" s="1"/>
  <c r="L49"/>
  <c r="D49"/>
  <c r="G48"/>
  <c r="H48" s="1"/>
  <c r="E48"/>
  <c r="L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L37"/>
  <c r="K37"/>
  <c r="E37"/>
  <c r="D37"/>
  <c r="J36"/>
  <c r="M36" s="1"/>
  <c r="H36"/>
  <c r="E36"/>
  <c r="H35"/>
  <c r="K35" s="1"/>
  <c r="E35"/>
  <c r="H34"/>
  <c r="K34" s="1"/>
  <c r="K33" s="1"/>
  <c r="E34"/>
  <c r="L33"/>
  <c r="H33"/>
  <c r="G33"/>
  <c r="F33"/>
  <c r="D33"/>
  <c r="C33"/>
  <c r="E32"/>
  <c r="G32" s="1"/>
  <c r="L31"/>
  <c r="K31"/>
  <c r="F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E19"/>
  <c r="G18"/>
  <c r="H18" s="1"/>
  <c r="K18" s="1"/>
  <c r="E18"/>
  <c r="G17"/>
  <c r="H17" s="1"/>
  <c r="E17"/>
  <c r="G16"/>
  <c r="H16" s="1"/>
  <c r="K16" s="1"/>
  <c r="E16"/>
  <c r="G15"/>
  <c r="H15" s="1"/>
  <c r="E15"/>
  <c r="F14"/>
  <c r="H14" s="1"/>
  <c r="E14"/>
  <c r="L13"/>
  <c r="G13"/>
  <c r="F13"/>
  <c r="E13"/>
  <c r="D13"/>
  <c r="C13"/>
  <c r="E12"/>
  <c r="G12" s="1"/>
  <c r="H11"/>
  <c r="K11" s="1"/>
  <c r="E11"/>
  <c r="I11" s="1"/>
  <c r="J11" s="1"/>
  <c r="M11" s="1"/>
  <c r="H10"/>
  <c r="K10" s="1"/>
  <c r="E10"/>
  <c r="E8" s="1"/>
  <c r="E9"/>
  <c r="F9" s="1"/>
  <c r="L8"/>
  <c r="D8"/>
  <c r="D64" s="1"/>
  <c r="C8"/>
  <c r="C76" i="56"/>
  <c r="C75"/>
  <c r="D74"/>
  <c r="C74"/>
  <c r="C73"/>
  <c r="D73" s="1"/>
  <c r="M72"/>
  <c r="D72"/>
  <c r="C72"/>
  <c r="M71"/>
  <c r="L71"/>
  <c r="D71"/>
  <c r="C71"/>
  <c r="C70"/>
  <c r="D70" s="1"/>
  <c r="C69"/>
  <c r="D69" s="1"/>
  <c r="C68"/>
  <c r="D68" s="1"/>
  <c r="L67"/>
  <c r="L73" s="1"/>
  <c r="C67"/>
  <c r="M66"/>
  <c r="M65"/>
  <c r="M63"/>
  <c r="M62"/>
  <c r="K61"/>
  <c r="H61"/>
  <c r="E61"/>
  <c r="K60"/>
  <c r="H60"/>
  <c r="G60"/>
  <c r="F60"/>
  <c r="E60"/>
  <c r="D60"/>
  <c r="C60"/>
  <c r="H59"/>
  <c r="K58" s="1"/>
  <c r="L58"/>
  <c r="H58"/>
  <c r="G58"/>
  <c r="D58"/>
  <c r="E59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E52" s="1"/>
  <c r="L52"/>
  <c r="G52"/>
  <c r="F52"/>
  <c r="D52"/>
  <c r="C52"/>
  <c r="E51"/>
  <c r="H51" s="1"/>
  <c r="I51" s="1"/>
  <c r="J51" s="1"/>
  <c r="M51" s="1"/>
  <c r="E50"/>
  <c r="L49"/>
  <c r="E49"/>
  <c r="D49"/>
  <c r="G48"/>
  <c r="H48" s="1"/>
  <c r="E48"/>
  <c r="L47"/>
  <c r="G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D44"/>
  <c r="G43"/>
  <c r="H43" s="1"/>
  <c r="E43"/>
  <c r="H42"/>
  <c r="K42" s="1"/>
  <c r="E42"/>
  <c r="E41"/>
  <c r="I41" s="1"/>
  <c r="J41" s="1"/>
  <c r="G40"/>
  <c r="H40" s="1"/>
  <c r="E40"/>
  <c r="L39"/>
  <c r="D39"/>
  <c r="E38"/>
  <c r="L37"/>
  <c r="K37"/>
  <c r="D37"/>
  <c r="J36"/>
  <c r="M36" s="1"/>
  <c r="H36"/>
  <c r="E36"/>
  <c r="H35"/>
  <c r="K35" s="1"/>
  <c r="E35"/>
  <c r="H34"/>
  <c r="K34" s="1"/>
  <c r="K33" s="1"/>
  <c r="E34"/>
  <c r="L33"/>
  <c r="G33"/>
  <c r="F33"/>
  <c r="E33"/>
  <c r="D33"/>
  <c r="C33"/>
  <c r="E32"/>
  <c r="G32" s="1"/>
  <c r="L31"/>
  <c r="K31"/>
  <c r="F31"/>
  <c r="D31"/>
  <c r="C31"/>
  <c r="H30"/>
  <c r="K30" s="1"/>
  <c r="E30"/>
  <c r="H29"/>
  <c r="K29" s="1"/>
  <c r="K28" s="1"/>
  <c r="E29"/>
  <c r="L28"/>
  <c r="G28"/>
  <c r="F28"/>
  <c r="E28"/>
  <c r="D28"/>
  <c r="C28"/>
  <c r="L26"/>
  <c r="D26"/>
  <c r="E27" s="1"/>
  <c r="H25"/>
  <c r="K25" s="1"/>
  <c r="K24" s="1"/>
  <c r="L24"/>
  <c r="H24"/>
  <c r="G24"/>
  <c r="D24"/>
  <c r="E25" s="1"/>
  <c r="L22"/>
  <c r="D22"/>
  <c r="E23" s="1"/>
  <c r="E21"/>
  <c r="G20" s="1"/>
  <c r="H21" s="1"/>
  <c r="L20"/>
  <c r="K20"/>
  <c r="D20"/>
  <c r="G19"/>
  <c r="H19" s="1"/>
  <c r="I19" s="1"/>
  <c r="J19" s="1"/>
  <c r="E19"/>
  <c r="G18"/>
  <c r="H18" s="1"/>
  <c r="E18"/>
  <c r="G17"/>
  <c r="H17" s="1"/>
  <c r="K17" s="1"/>
  <c r="E17"/>
  <c r="G16"/>
  <c r="H16" s="1"/>
  <c r="E16"/>
  <c r="G15"/>
  <c r="E15"/>
  <c r="F14"/>
  <c r="H14" s="1"/>
  <c r="E14"/>
  <c r="E13" s="1"/>
  <c r="L13"/>
  <c r="F13"/>
  <c r="D13"/>
  <c r="C13"/>
  <c r="E12"/>
  <c r="G12" s="1"/>
  <c r="H11"/>
  <c r="E11"/>
  <c r="H10"/>
  <c r="E10"/>
  <c r="E9"/>
  <c r="L8"/>
  <c r="D8"/>
  <c r="D64" s="1"/>
  <c r="C8"/>
  <c r="C76" i="57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C77" s="1"/>
  <c r="L70" s="1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L52"/>
  <c r="H52"/>
  <c r="G52"/>
  <c r="F52"/>
  <c r="E52"/>
  <c r="D52"/>
  <c r="C52"/>
  <c r="E51"/>
  <c r="H51" s="1"/>
  <c r="I51" s="1"/>
  <c r="J51" s="1"/>
  <c r="M51" s="1"/>
  <c r="E50"/>
  <c r="G50" s="1"/>
  <c r="L49"/>
  <c r="D49"/>
  <c r="G48"/>
  <c r="H48" s="1"/>
  <c r="E48"/>
  <c r="L47"/>
  <c r="G47"/>
  <c r="D47"/>
  <c r="E47" s="1"/>
  <c r="I46"/>
  <c r="J46" s="1"/>
  <c r="M46" s="1"/>
  <c r="G46"/>
  <c r="H46" s="1"/>
  <c r="K46" s="1"/>
  <c r="E46"/>
  <c r="E44" s="1"/>
  <c r="I45"/>
  <c r="J45" s="1"/>
  <c r="G45"/>
  <c r="H45" s="1"/>
  <c r="E45"/>
  <c r="L44"/>
  <c r="I44"/>
  <c r="G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E20"/>
  <c r="D20"/>
  <c r="G19"/>
  <c r="H19" s="1"/>
  <c r="E19"/>
  <c r="G18"/>
  <c r="H18" s="1"/>
  <c r="K18" s="1"/>
  <c r="E18"/>
  <c r="G17"/>
  <c r="H17" s="1"/>
  <c r="E17"/>
  <c r="G16"/>
  <c r="H16" s="1"/>
  <c r="K16" s="1"/>
  <c r="E16"/>
  <c r="G15"/>
  <c r="H15" s="1"/>
  <c r="E15"/>
  <c r="F14"/>
  <c r="H14" s="1"/>
  <c r="K14" s="1"/>
  <c r="E14"/>
  <c r="L13"/>
  <c r="G13"/>
  <c r="F13"/>
  <c r="E13"/>
  <c r="D13"/>
  <c r="C13"/>
  <c r="E12"/>
  <c r="G12" s="1"/>
  <c r="H11"/>
  <c r="K11" s="1"/>
  <c r="E11"/>
  <c r="H10"/>
  <c r="K10" s="1"/>
  <c r="E10"/>
  <c r="E9"/>
  <c r="F9" s="1"/>
  <c r="L8"/>
  <c r="D8"/>
  <c r="D64" s="1"/>
  <c r="C8"/>
  <c r="C76" i="58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8" s="1"/>
  <c r="L58"/>
  <c r="H58"/>
  <c r="G58"/>
  <c r="D58"/>
  <c r="E59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L52"/>
  <c r="H52"/>
  <c r="G52"/>
  <c r="F52"/>
  <c r="E52"/>
  <c r="D52"/>
  <c r="C52"/>
  <c r="E51"/>
  <c r="H51" s="1"/>
  <c r="I51" s="1"/>
  <c r="J51" s="1"/>
  <c r="M51" s="1"/>
  <c r="E50"/>
  <c r="L49"/>
  <c r="D49"/>
  <c r="G48"/>
  <c r="H48" s="1"/>
  <c r="E48"/>
  <c r="L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G40"/>
  <c r="H40" s="1"/>
  <c r="E40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I30" s="1"/>
  <c r="J30" s="1"/>
  <c r="H29"/>
  <c r="K29" s="1"/>
  <c r="E29"/>
  <c r="I29" s="1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G13"/>
  <c r="F13"/>
  <c r="E13"/>
  <c r="D13"/>
  <c r="C13"/>
  <c r="E12"/>
  <c r="G12" s="1"/>
  <c r="K11"/>
  <c r="H11"/>
  <c r="E11"/>
  <c r="I11" s="1"/>
  <c r="J11" s="1"/>
  <c r="M11" s="1"/>
  <c r="H10"/>
  <c r="K10" s="1"/>
  <c r="E10"/>
  <c r="E9"/>
  <c r="F9" s="1"/>
  <c r="L8"/>
  <c r="D8"/>
  <c r="C8"/>
  <c r="C64" s="1"/>
  <c r="C76" i="59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L52"/>
  <c r="H52"/>
  <c r="G52"/>
  <c r="F52"/>
  <c r="E52"/>
  <c r="D52"/>
  <c r="C52"/>
  <c r="E51"/>
  <c r="H51" s="1"/>
  <c r="I51" s="1"/>
  <c r="J51" s="1"/>
  <c r="M51" s="1"/>
  <c r="E50"/>
  <c r="G50" s="1"/>
  <c r="L49"/>
  <c r="D49"/>
  <c r="G48"/>
  <c r="H48" s="1"/>
  <c r="E48"/>
  <c r="L47"/>
  <c r="D47"/>
  <c r="E47" s="1"/>
  <c r="I46"/>
  <c r="J46" s="1"/>
  <c r="M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E29"/>
  <c r="I29" s="1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D20"/>
  <c r="G19"/>
  <c r="H19" s="1"/>
  <c r="K19" s="1"/>
  <c r="E19"/>
  <c r="G18"/>
  <c r="H18" s="1"/>
  <c r="E18"/>
  <c r="G17"/>
  <c r="H17" s="1"/>
  <c r="K17" s="1"/>
  <c r="E17"/>
  <c r="G16"/>
  <c r="H16" s="1"/>
  <c r="E16"/>
  <c r="G15"/>
  <c r="H15" s="1"/>
  <c r="K15" s="1"/>
  <c r="E15"/>
  <c r="F14"/>
  <c r="H14" s="1"/>
  <c r="E14"/>
  <c r="L13"/>
  <c r="F13"/>
  <c r="E13"/>
  <c r="D13"/>
  <c r="C13"/>
  <c r="E12"/>
  <c r="G12" s="1"/>
  <c r="H11"/>
  <c r="K11" s="1"/>
  <c r="E11"/>
  <c r="I11" s="1"/>
  <c r="J11" s="1"/>
  <c r="M11" s="1"/>
  <c r="H10"/>
  <c r="K10" s="1"/>
  <c r="E10"/>
  <c r="I10" s="1"/>
  <c r="J10" s="1"/>
  <c r="E9"/>
  <c r="F9" s="1"/>
  <c r="L8"/>
  <c r="E8"/>
  <c r="D8"/>
  <c r="C8"/>
  <c r="C64" s="1"/>
  <c r="C76" i="60"/>
  <c r="C75"/>
  <c r="C74"/>
  <c r="D74" s="1"/>
  <c r="C73"/>
  <c r="D73" s="1"/>
  <c r="M72"/>
  <c r="C72"/>
  <c r="D72" s="1"/>
  <c r="M71"/>
  <c r="L71"/>
  <c r="D71"/>
  <c r="C7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9" s="1"/>
  <c r="K58" s="1"/>
  <c r="L58"/>
  <c r="H58"/>
  <c r="G58"/>
  <c r="D58"/>
  <c r="E59" s="1"/>
  <c r="E58" s="1"/>
  <c r="C58"/>
  <c r="L56"/>
  <c r="F56"/>
  <c r="D56"/>
  <c r="E57" s="1"/>
  <c r="C56"/>
  <c r="E55"/>
  <c r="G55" s="1"/>
  <c r="L54"/>
  <c r="F54"/>
  <c r="E54"/>
  <c r="D54"/>
  <c r="C54"/>
  <c r="H53"/>
  <c r="K53" s="1"/>
  <c r="K52" s="1"/>
  <c r="E53"/>
  <c r="E52" s="1"/>
  <c r="L52"/>
  <c r="G52"/>
  <c r="F52"/>
  <c r="D52"/>
  <c r="C52"/>
  <c r="E51"/>
  <c r="H51" s="1"/>
  <c r="I51" s="1"/>
  <c r="J51" s="1"/>
  <c r="M51" s="1"/>
  <c r="E50"/>
  <c r="G50" s="1"/>
  <c r="L49"/>
  <c r="D49"/>
  <c r="G48"/>
  <c r="H48" s="1"/>
  <c r="E48"/>
  <c r="L47"/>
  <c r="G47"/>
  <c r="E47"/>
  <c r="D47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E37"/>
  <c r="D37"/>
  <c r="J36"/>
  <c r="M36" s="1"/>
  <c r="H36"/>
  <c r="E36"/>
  <c r="H35"/>
  <c r="K35" s="1"/>
  <c r="E35"/>
  <c r="E33" s="1"/>
  <c r="H34"/>
  <c r="K34" s="1"/>
  <c r="K33" s="1"/>
  <c r="E34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E29"/>
  <c r="I29" s="1"/>
  <c r="L28"/>
  <c r="H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1" s="1"/>
  <c r="G20" s="1"/>
  <c r="H21" s="1"/>
  <c r="L20"/>
  <c r="K20"/>
  <c r="E20"/>
  <c r="D20"/>
  <c r="G19"/>
  <c r="H19" s="1"/>
  <c r="E19"/>
  <c r="G18"/>
  <c r="H18" s="1"/>
  <c r="E18"/>
  <c r="H17"/>
  <c r="K17" s="1"/>
  <c r="G17"/>
  <c r="E17"/>
  <c r="G16"/>
  <c r="H16" s="1"/>
  <c r="E16"/>
  <c r="G15"/>
  <c r="H15" s="1"/>
  <c r="E15"/>
  <c r="F14"/>
  <c r="H14" s="1"/>
  <c r="E14"/>
  <c r="L13"/>
  <c r="F13"/>
  <c r="E13"/>
  <c r="D13"/>
  <c r="C13"/>
  <c r="E12"/>
  <c r="G12" s="1"/>
  <c r="H11"/>
  <c r="K11" s="1"/>
  <c r="E11"/>
  <c r="H10"/>
  <c r="K10" s="1"/>
  <c r="E10"/>
  <c r="E9"/>
  <c r="F9" s="1"/>
  <c r="L8"/>
  <c r="D8"/>
  <c r="D64" s="1"/>
  <c r="C8"/>
  <c r="C76" i="61"/>
  <c r="C75"/>
  <c r="C74"/>
  <c r="D74" s="1"/>
  <c r="C73"/>
  <c r="D73" s="1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D67" s="1"/>
  <c r="M66"/>
  <c r="M65"/>
  <c r="M63"/>
  <c r="M62"/>
  <c r="H61"/>
  <c r="K61" s="1"/>
  <c r="K60" s="1"/>
  <c r="E61"/>
  <c r="H60"/>
  <c r="G60"/>
  <c r="F60"/>
  <c r="E60"/>
  <c r="D60"/>
  <c r="C60"/>
  <c r="H59"/>
  <c r="L58"/>
  <c r="H58"/>
  <c r="G58"/>
  <c r="D58"/>
  <c r="E59" s="1"/>
  <c r="C58"/>
  <c r="L56"/>
  <c r="F56"/>
  <c r="D56"/>
  <c r="E57" s="1"/>
  <c r="C56"/>
  <c r="G55"/>
  <c r="H55" s="1"/>
  <c r="E55"/>
  <c r="L54"/>
  <c r="G54"/>
  <c r="F54"/>
  <c r="E54"/>
  <c r="D54"/>
  <c r="C54"/>
  <c r="K53"/>
  <c r="H53"/>
  <c r="E53"/>
  <c r="I53" s="1"/>
  <c r="L52"/>
  <c r="K52"/>
  <c r="H52"/>
  <c r="G52"/>
  <c r="F52"/>
  <c r="E52"/>
  <c r="D52"/>
  <c r="C52"/>
  <c r="E51"/>
  <c r="H51" s="1"/>
  <c r="I51" s="1"/>
  <c r="J51" s="1"/>
  <c r="M51" s="1"/>
  <c r="E50"/>
  <c r="L49"/>
  <c r="E49"/>
  <c r="D49"/>
  <c r="G48"/>
  <c r="H48" s="1"/>
  <c r="E48"/>
  <c r="L47"/>
  <c r="D47"/>
  <c r="E47" s="1"/>
  <c r="I46"/>
  <c r="J46" s="1"/>
  <c r="G46"/>
  <c r="H46" s="1"/>
  <c r="K46" s="1"/>
  <c r="E46"/>
  <c r="I45"/>
  <c r="J45" s="1"/>
  <c r="G45"/>
  <c r="H45" s="1"/>
  <c r="E45"/>
  <c r="L44"/>
  <c r="I44"/>
  <c r="G44"/>
  <c r="E44"/>
  <c r="D44"/>
  <c r="E43"/>
  <c r="G43" s="1"/>
  <c r="H43" s="1"/>
  <c r="H42"/>
  <c r="K42" s="1"/>
  <c r="E42"/>
  <c r="E41"/>
  <c r="I41" s="1"/>
  <c r="J41" s="1"/>
  <c r="E40"/>
  <c r="G40" s="1"/>
  <c r="L39"/>
  <c r="E39"/>
  <c r="D39"/>
  <c r="E38"/>
  <c r="G38" s="1"/>
  <c r="L37"/>
  <c r="K37"/>
  <c r="D37"/>
  <c r="J36"/>
  <c r="M36" s="1"/>
  <c r="H36"/>
  <c r="E36"/>
  <c r="H35"/>
  <c r="K35" s="1"/>
  <c r="E35"/>
  <c r="H34"/>
  <c r="K34" s="1"/>
  <c r="K33" s="1"/>
  <c r="E34"/>
  <c r="E33" s="1"/>
  <c r="L33"/>
  <c r="G33"/>
  <c r="F33"/>
  <c r="D33"/>
  <c r="C33"/>
  <c r="E32"/>
  <c r="G32" s="1"/>
  <c r="L31"/>
  <c r="K31"/>
  <c r="F31"/>
  <c r="E31"/>
  <c r="D31"/>
  <c r="C31"/>
  <c r="H30"/>
  <c r="K30" s="1"/>
  <c r="E30"/>
  <c r="H29"/>
  <c r="K29" s="1"/>
  <c r="K28" s="1"/>
  <c r="E29"/>
  <c r="E28" s="1"/>
  <c r="L28"/>
  <c r="G28"/>
  <c r="F28"/>
  <c r="D28"/>
  <c r="C28"/>
  <c r="L26"/>
  <c r="D26"/>
  <c r="E27" s="1"/>
  <c r="H25"/>
  <c r="K25" s="1"/>
  <c r="K24" s="1"/>
  <c r="L24"/>
  <c r="H24"/>
  <c r="G24"/>
  <c r="D24"/>
  <c r="E25" s="1"/>
  <c r="E24" s="1"/>
  <c r="L22"/>
  <c r="D22"/>
  <c r="E23" s="1"/>
  <c r="E21"/>
  <c r="G20" s="1"/>
  <c r="H21" s="1"/>
  <c r="L20"/>
  <c r="K20"/>
  <c r="E20"/>
  <c r="D20"/>
  <c r="G19"/>
  <c r="H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L13"/>
  <c r="G13"/>
  <c r="F13"/>
  <c r="E13"/>
  <c r="D13"/>
  <c r="C13"/>
  <c r="E12"/>
  <c r="G12" s="1"/>
  <c r="K11"/>
  <c r="H11"/>
  <c r="E11"/>
  <c r="I11" s="1"/>
  <c r="J11" s="1"/>
  <c r="M11" s="1"/>
  <c r="H10"/>
  <c r="K10" s="1"/>
  <c r="E10"/>
  <c r="I10" s="1"/>
  <c r="J10" s="1"/>
  <c r="E9"/>
  <c r="F9" s="1"/>
  <c r="L8"/>
  <c r="E8"/>
  <c r="D8"/>
  <c r="D64" s="1"/>
  <c r="C8"/>
  <c r="D21" i="6"/>
  <c r="K59" i="37"/>
  <c r="K47" i="35"/>
  <c r="D76" i="64"/>
  <c r="K59"/>
  <c r="J59"/>
  <c r="D13" i="37"/>
  <c r="I35" i="70"/>
  <c r="K36"/>
  <c r="S25"/>
  <c r="M25"/>
  <c r="N25"/>
  <c r="O25"/>
  <c r="P25"/>
  <c r="Q25"/>
  <c r="L25"/>
  <c r="S8"/>
  <c r="E30" i="6"/>
  <c r="I38"/>
  <c r="C76" i="62"/>
  <c r="C75"/>
  <c r="C74"/>
  <c r="D74"/>
  <c r="C73"/>
  <c r="D73"/>
  <c r="M72"/>
  <c r="C72"/>
  <c r="D72" s="1"/>
  <c r="M71"/>
  <c r="L71"/>
  <c r="C71"/>
  <c r="D71" s="1"/>
  <c r="C70"/>
  <c r="D70" s="1"/>
  <c r="D77" s="1"/>
  <c r="M70" s="1"/>
  <c r="C69"/>
  <c r="D69" s="1"/>
  <c r="C68"/>
  <c r="D68" s="1"/>
  <c r="L67"/>
  <c r="L73" s="1"/>
  <c r="C67"/>
  <c r="M66"/>
  <c r="M65"/>
  <c r="M63"/>
  <c r="M62"/>
  <c r="H61"/>
  <c r="K61"/>
  <c r="K60" s="1"/>
  <c r="E61"/>
  <c r="H60"/>
  <c r="G60"/>
  <c r="F60"/>
  <c r="E60"/>
  <c r="D60"/>
  <c r="C60"/>
  <c r="H59"/>
  <c r="K59" s="1"/>
  <c r="K58" s="1"/>
  <c r="L58"/>
  <c r="G58"/>
  <c r="D58"/>
  <c r="E59" s="1"/>
  <c r="C58"/>
  <c r="L56"/>
  <c r="F56"/>
  <c r="D56"/>
  <c r="E57" s="1"/>
  <c r="C56"/>
  <c r="E55"/>
  <c r="E54" s="1"/>
  <c r="L54"/>
  <c r="F54"/>
  <c r="D54"/>
  <c r="C54"/>
  <c r="H53"/>
  <c r="K53" s="1"/>
  <c r="E53"/>
  <c r="E52" s="1"/>
  <c r="L52"/>
  <c r="G52"/>
  <c r="F52"/>
  <c r="D52"/>
  <c r="C52"/>
  <c r="E51"/>
  <c r="H51" s="1"/>
  <c r="I51" s="1"/>
  <c r="J51" s="1"/>
  <c r="M51" s="1"/>
  <c r="E50"/>
  <c r="L49"/>
  <c r="D49"/>
  <c r="G48"/>
  <c r="H48" s="1"/>
  <c r="E48"/>
  <c r="G40" i="35" s="1"/>
  <c r="L47" i="62"/>
  <c r="D47"/>
  <c r="E47" s="1"/>
  <c r="I46"/>
  <c r="J46" s="1"/>
  <c r="G46"/>
  <c r="H46" s="1"/>
  <c r="K46" s="1"/>
  <c r="E46"/>
  <c r="I45"/>
  <c r="J45" s="1"/>
  <c r="G45"/>
  <c r="H45" s="1"/>
  <c r="E45"/>
  <c r="L44"/>
  <c r="E44"/>
  <c r="D44"/>
  <c r="E43"/>
  <c r="G43" s="1"/>
  <c r="H43" s="1"/>
  <c r="K43" s="1"/>
  <c r="H42"/>
  <c r="K42"/>
  <c r="E42"/>
  <c r="E41"/>
  <c r="I41" s="1"/>
  <c r="J41" s="1"/>
  <c r="E40"/>
  <c r="G40" s="1"/>
  <c r="L39"/>
  <c r="D39"/>
  <c r="E38"/>
  <c r="L37"/>
  <c r="K37"/>
  <c r="D37"/>
  <c r="J36"/>
  <c r="M36" s="1"/>
  <c r="H36"/>
  <c r="E36"/>
  <c r="H35"/>
  <c r="K35" s="1"/>
  <c r="E35"/>
  <c r="H34"/>
  <c r="K34" s="1"/>
  <c r="E34"/>
  <c r="L33"/>
  <c r="G33"/>
  <c r="F33"/>
  <c r="D33"/>
  <c r="C33"/>
  <c r="E32"/>
  <c r="G32" s="1"/>
  <c r="L31"/>
  <c r="K31"/>
  <c r="F31"/>
  <c r="D31"/>
  <c r="D14" i="6" s="1"/>
  <c r="E14" s="1"/>
  <c r="C31" i="62"/>
  <c r="H30"/>
  <c r="K30" s="1"/>
  <c r="E30"/>
  <c r="H29"/>
  <c r="K29" s="1"/>
  <c r="E29"/>
  <c r="L28"/>
  <c r="G28"/>
  <c r="F28"/>
  <c r="D28"/>
  <c r="C28"/>
  <c r="L26"/>
  <c r="D26"/>
  <c r="E27" s="1"/>
  <c r="H25"/>
  <c r="K25" s="1"/>
  <c r="K24" s="1"/>
  <c r="L24"/>
  <c r="H24"/>
  <c r="G24"/>
  <c r="D24"/>
  <c r="E25" s="1"/>
  <c r="L22"/>
  <c r="D22"/>
  <c r="E23" s="1"/>
  <c r="E21"/>
  <c r="G20" s="1"/>
  <c r="H21" s="1"/>
  <c r="L20"/>
  <c r="K20"/>
  <c r="D20"/>
  <c r="G19"/>
  <c r="H19" s="1"/>
  <c r="K19" s="1"/>
  <c r="E19"/>
  <c r="G18"/>
  <c r="H18" s="1"/>
  <c r="E18"/>
  <c r="G17"/>
  <c r="H17" s="1"/>
  <c r="E17"/>
  <c r="G16"/>
  <c r="H16" s="1"/>
  <c r="E16"/>
  <c r="G15"/>
  <c r="H15" s="1"/>
  <c r="E15"/>
  <c r="F14"/>
  <c r="H14" s="1"/>
  <c r="E14"/>
  <c r="E13" s="1"/>
  <c r="L13"/>
  <c r="G13"/>
  <c r="D13"/>
  <c r="C13"/>
  <c r="E12"/>
  <c r="H11"/>
  <c r="K11" s="1"/>
  <c r="E11"/>
  <c r="H10"/>
  <c r="K10" s="1"/>
  <c r="E10"/>
  <c r="E9"/>
  <c r="F9" s="1"/>
  <c r="L8"/>
  <c r="D8"/>
  <c r="D64" s="1"/>
  <c r="C8"/>
  <c r="C76" i="63"/>
  <c r="C75"/>
  <c r="C74"/>
  <c r="D74"/>
  <c r="C73"/>
  <c r="D73"/>
  <c r="M72"/>
  <c r="C72"/>
  <c r="D72" s="1"/>
  <c r="M71"/>
  <c r="L71"/>
  <c r="C71"/>
  <c r="D71" s="1"/>
  <c r="C70"/>
  <c r="D70" s="1"/>
  <c r="C69"/>
  <c r="D69" s="1"/>
  <c r="C68"/>
  <c r="D68" s="1"/>
  <c r="L67"/>
  <c r="L73" s="1"/>
  <c r="C67"/>
  <c r="M66"/>
  <c r="M65"/>
  <c r="M63"/>
  <c r="M62"/>
  <c r="H61"/>
  <c r="K61" s="1"/>
  <c r="E61"/>
  <c r="H60"/>
  <c r="G60"/>
  <c r="F60"/>
  <c r="E60"/>
  <c r="D60"/>
  <c r="C60"/>
  <c r="H59"/>
  <c r="K59"/>
  <c r="K58" s="1"/>
  <c r="L58"/>
  <c r="H58"/>
  <c r="G58"/>
  <c r="D58"/>
  <c r="E59"/>
  <c r="E58" s="1"/>
  <c r="C58"/>
  <c r="L56"/>
  <c r="F56"/>
  <c r="D56"/>
  <c r="E57" s="1"/>
  <c r="C56"/>
  <c r="H55"/>
  <c r="K55" s="1"/>
  <c r="K54" s="1"/>
  <c r="E55"/>
  <c r="L54"/>
  <c r="G54"/>
  <c r="F54"/>
  <c r="E54"/>
  <c r="D54"/>
  <c r="C54"/>
  <c r="H53"/>
  <c r="K53" s="1"/>
  <c r="K52" s="1"/>
  <c r="E53"/>
  <c r="I53"/>
  <c r="L52"/>
  <c r="H52"/>
  <c r="G52"/>
  <c r="F52"/>
  <c r="D52"/>
  <c r="C52"/>
  <c r="E51"/>
  <c r="E50"/>
  <c r="L49"/>
  <c r="D49"/>
  <c r="G48"/>
  <c r="H48" s="1"/>
  <c r="E48"/>
  <c r="L47"/>
  <c r="G47"/>
  <c r="D47"/>
  <c r="E47"/>
  <c r="I46"/>
  <c r="J46"/>
  <c r="G46"/>
  <c r="H46"/>
  <c r="K46" s="1"/>
  <c r="E46"/>
  <c r="I45"/>
  <c r="J45"/>
  <c r="G45"/>
  <c r="H45"/>
  <c r="E45"/>
  <c r="L44"/>
  <c r="I44"/>
  <c r="E44"/>
  <c r="D44"/>
  <c r="E43"/>
  <c r="G43" s="1"/>
  <c r="H43" s="1"/>
  <c r="K43" s="1"/>
  <c r="H42"/>
  <c r="K42"/>
  <c r="E42"/>
  <c r="E41"/>
  <c r="I41" s="1"/>
  <c r="J41" s="1"/>
  <c r="E40"/>
  <c r="G40"/>
  <c r="L39"/>
  <c r="E39"/>
  <c r="D39"/>
  <c r="E38"/>
  <c r="L37"/>
  <c r="K37"/>
  <c r="E37"/>
  <c r="D37"/>
  <c r="J36"/>
  <c r="M36"/>
  <c r="H36"/>
  <c r="E36"/>
  <c r="H35"/>
  <c r="K35" s="1"/>
  <c r="E35"/>
  <c r="H34"/>
  <c r="K34" s="1"/>
  <c r="E34"/>
  <c r="E33" s="1"/>
  <c r="L33"/>
  <c r="G33"/>
  <c r="F33"/>
  <c r="D33"/>
  <c r="C33"/>
  <c r="E32"/>
  <c r="G32" s="1"/>
  <c r="L31"/>
  <c r="K31"/>
  <c r="F31"/>
  <c r="D31"/>
  <c r="C31"/>
  <c r="H30"/>
  <c r="K30" s="1"/>
  <c r="E30"/>
  <c r="H29"/>
  <c r="K29" s="1"/>
  <c r="E29"/>
  <c r="E28" s="1"/>
  <c r="L28"/>
  <c r="G28"/>
  <c r="F28"/>
  <c r="D28"/>
  <c r="C28"/>
  <c r="L26"/>
  <c r="D26"/>
  <c r="E27"/>
  <c r="H25"/>
  <c r="K25" s="1"/>
  <c r="L24"/>
  <c r="H24"/>
  <c r="G24"/>
  <c r="D24"/>
  <c r="E25"/>
  <c r="L22"/>
  <c r="D22"/>
  <c r="E23" s="1"/>
  <c r="E21"/>
  <c r="E20" s="1"/>
  <c r="G20"/>
  <c r="H21" s="1"/>
  <c r="H20" s="1"/>
  <c r="L20"/>
  <c r="K20"/>
  <c r="D20"/>
  <c r="G19"/>
  <c r="H19" s="1"/>
  <c r="E19"/>
  <c r="G18"/>
  <c r="H18" s="1"/>
  <c r="E18"/>
  <c r="G17"/>
  <c r="H17"/>
  <c r="E17"/>
  <c r="G16"/>
  <c r="H16" s="1"/>
  <c r="E16"/>
  <c r="G15"/>
  <c r="H15" s="1"/>
  <c r="E15"/>
  <c r="F14"/>
  <c r="H14" s="1"/>
  <c r="E14"/>
  <c r="L13"/>
  <c r="G13"/>
  <c r="E13"/>
  <c r="D13"/>
  <c r="C13"/>
  <c r="E12"/>
  <c r="G12"/>
  <c r="H11"/>
  <c r="K11"/>
  <c r="E11"/>
  <c r="H10"/>
  <c r="K10" s="1"/>
  <c r="E10"/>
  <c r="E9"/>
  <c r="F9" s="1"/>
  <c r="L8"/>
  <c r="E8"/>
  <c r="D8"/>
  <c r="D64" s="1"/>
  <c r="C8"/>
  <c r="C64" s="1"/>
  <c r="C76" i="64"/>
  <c r="C75"/>
  <c r="C74"/>
  <c r="D74" s="1"/>
  <c r="C73"/>
  <c r="D73" s="1"/>
  <c r="M72"/>
  <c r="C72"/>
  <c r="D72"/>
  <c r="M71"/>
  <c r="L71"/>
  <c r="C71"/>
  <c r="D71"/>
  <c r="C70"/>
  <c r="D70" s="1"/>
  <c r="C69"/>
  <c r="D69" s="1"/>
  <c r="C68"/>
  <c r="D68" s="1"/>
  <c r="L67"/>
  <c r="L73" s="1"/>
  <c r="C67"/>
  <c r="M66"/>
  <c r="M65"/>
  <c r="M63"/>
  <c r="M62"/>
  <c r="H61"/>
  <c r="K61" s="1"/>
  <c r="K60" s="1"/>
  <c r="E61"/>
  <c r="H60"/>
  <c r="G60"/>
  <c r="F60"/>
  <c r="E60"/>
  <c r="D60"/>
  <c r="C60"/>
  <c r="H59"/>
  <c r="K58" s="1"/>
  <c r="L58"/>
  <c r="H58"/>
  <c r="G58"/>
  <c r="D58"/>
  <c r="E59" s="1"/>
  <c r="C58"/>
  <c r="L56"/>
  <c r="F56"/>
  <c r="D56"/>
  <c r="E57"/>
  <c r="C56"/>
  <c r="H55"/>
  <c r="K55"/>
  <c r="K54"/>
  <c r="E55"/>
  <c r="L54"/>
  <c r="H54"/>
  <c r="G54"/>
  <c r="F54"/>
  <c r="E54"/>
  <c r="D54"/>
  <c r="C54"/>
  <c r="H53"/>
  <c r="K53" s="1"/>
  <c r="K52" s="1"/>
  <c r="E53"/>
  <c r="L52"/>
  <c r="H52"/>
  <c r="G52"/>
  <c r="F52"/>
  <c r="D52"/>
  <c r="C52"/>
  <c r="E51"/>
  <c r="H51"/>
  <c r="I51" s="1"/>
  <c r="E50"/>
  <c r="L49"/>
  <c r="D49"/>
  <c r="G48"/>
  <c r="H48" s="1"/>
  <c r="E48"/>
  <c r="L47"/>
  <c r="G47"/>
  <c r="D47"/>
  <c r="E47" s="1"/>
  <c r="I46"/>
  <c r="J46"/>
  <c r="G46"/>
  <c r="H46"/>
  <c r="E46"/>
  <c r="I45"/>
  <c r="J45" s="1"/>
  <c r="G45"/>
  <c r="H45" s="1"/>
  <c r="E45"/>
  <c r="L44"/>
  <c r="I44"/>
  <c r="E44"/>
  <c r="D44"/>
  <c r="E43"/>
  <c r="G43" s="1"/>
  <c r="H42"/>
  <c r="K42" s="1"/>
  <c r="E42"/>
  <c r="E41"/>
  <c r="I41" s="1"/>
  <c r="E40"/>
  <c r="G40" s="1"/>
  <c r="H40" s="1"/>
  <c r="I40" s="1"/>
  <c r="J40" s="1"/>
  <c r="L39"/>
  <c r="D39"/>
  <c r="E38"/>
  <c r="L37"/>
  <c r="K37"/>
  <c r="E37"/>
  <c r="D37"/>
  <c r="J36"/>
  <c r="M36"/>
  <c r="H36"/>
  <c r="E36"/>
  <c r="H35"/>
  <c r="K35" s="1"/>
  <c r="E35"/>
  <c r="H34"/>
  <c r="K34" s="1"/>
  <c r="E34"/>
  <c r="E33" s="1"/>
  <c r="L33"/>
  <c r="G33"/>
  <c r="F33"/>
  <c r="D33"/>
  <c r="C33"/>
  <c r="E32"/>
  <c r="G32" s="1"/>
  <c r="L31"/>
  <c r="K31"/>
  <c r="F31"/>
  <c r="D31"/>
  <c r="C31"/>
  <c r="H30"/>
  <c r="K30" s="1"/>
  <c r="E30"/>
  <c r="H29"/>
  <c r="K29" s="1"/>
  <c r="E29"/>
  <c r="L28"/>
  <c r="G28"/>
  <c r="F28"/>
  <c r="D28"/>
  <c r="C28"/>
  <c r="L26"/>
  <c r="D26"/>
  <c r="E27"/>
  <c r="H25"/>
  <c r="K25" s="1"/>
  <c r="L24"/>
  <c r="H24"/>
  <c r="G24"/>
  <c r="D24"/>
  <c r="E25"/>
  <c r="L22"/>
  <c r="D22"/>
  <c r="E23" s="1"/>
  <c r="E21"/>
  <c r="G20" s="1"/>
  <c r="H21" s="1"/>
  <c r="L20"/>
  <c r="K20"/>
  <c r="D20"/>
  <c r="G19"/>
  <c r="H19" s="1"/>
  <c r="I19" s="1"/>
  <c r="E19"/>
  <c r="G18"/>
  <c r="H18" s="1"/>
  <c r="E18"/>
  <c r="G17"/>
  <c r="H17" s="1"/>
  <c r="E17"/>
  <c r="G16"/>
  <c r="H16"/>
  <c r="E16"/>
  <c r="G15"/>
  <c r="H15" s="1"/>
  <c r="E15"/>
  <c r="F14"/>
  <c r="H14"/>
  <c r="K14" s="1"/>
  <c r="E14"/>
  <c r="E13"/>
  <c r="L13"/>
  <c r="F13"/>
  <c r="D13"/>
  <c r="D8" i="6" s="1"/>
  <c r="C13" i="64"/>
  <c r="E12"/>
  <c r="H11"/>
  <c r="K11" s="1"/>
  <c r="E11"/>
  <c r="H10"/>
  <c r="K10" s="1"/>
  <c r="M10" s="1"/>
  <c r="E10"/>
  <c r="E9"/>
  <c r="L8"/>
  <c r="D8"/>
  <c r="D64" s="1"/>
  <c r="C8"/>
  <c r="K53" i="35"/>
  <c r="K49"/>
  <c r="K45"/>
  <c r="D15" i="70"/>
  <c r="R8"/>
  <c r="K33"/>
  <c r="R27"/>
  <c r="R25" s="1"/>
  <c r="C8" i="37"/>
  <c r="D8"/>
  <c r="L8"/>
  <c r="E9"/>
  <c r="F9"/>
  <c r="E10"/>
  <c r="H10"/>
  <c r="E11"/>
  <c r="H11"/>
  <c r="I11" s="1"/>
  <c r="E12"/>
  <c r="C13"/>
  <c r="C8" i="6" s="1"/>
  <c r="L13" i="37"/>
  <c r="E14"/>
  <c r="F14"/>
  <c r="F13"/>
  <c r="E15"/>
  <c r="G15"/>
  <c r="H15" s="1"/>
  <c r="E16"/>
  <c r="G16"/>
  <c r="E17"/>
  <c r="G17"/>
  <c r="H17" s="1"/>
  <c r="E18"/>
  <c r="G18"/>
  <c r="H18" s="1"/>
  <c r="E19"/>
  <c r="I17" i="35" s="1"/>
  <c r="G19" i="37"/>
  <c r="H19" s="1"/>
  <c r="K19" s="1"/>
  <c r="D20"/>
  <c r="D9" i="6" s="1"/>
  <c r="E9" s="1"/>
  <c r="K20" i="37"/>
  <c r="L20"/>
  <c r="E21"/>
  <c r="G20"/>
  <c r="E20"/>
  <c r="D22"/>
  <c r="E23" s="1"/>
  <c r="L22"/>
  <c r="D24"/>
  <c r="E25" s="1"/>
  <c r="G24"/>
  <c r="L24"/>
  <c r="H25"/>
  <c r="H24" s="1"/>
  <c r="D26"/>
  <c r="E27" s="1"/>
  <c r="L26"/>
  <c r="C28"/>
  <c r="D28"/>
  <c r="F28"/>
  <c r="G28"/>
  <c r="L28"/>
  <c r="E29"/>
  <c r="H29"/>
  <c r="E30"/>
  <c r="E28" s="1"/>
  <c r="H30"/>
  <c r="K30" s="1"/>
  <c r="C31"/>
  <c r="D31"/>
  <c r="F31"/>
  <c r="K31"/>
  <c r="L31"/>
  <c r="E32"/>
  <c r="E31" s="1"/>
  <c r="C33"/>
  <c r="D33"/>
  <c r="F33"/>
  <c r="F15" i="6" s="1"/>
  <c r="G33" i="37"/>
  <c r="L33"/>
  <c r="E34"/>
  <c r="H34"/>
  <c r="I34" s="1"/>
  <c r="E35"/>
  <c r="H35"/>
  <c r="I35" s="1"/>
  <c r="J35" s="1"/>
  <c r="K35"/>
  <c r="E36"/>
  <c r="H36"/>
  <c r="J36"/>
  <c r="M36" s="1"/>
  <c r="D37"/>
  <c r="D16" i="6" s="1"/>
  <c r="E16" s="1"/>
  <c r="K37" i="37"/>
  <c r="L37"/>
  <c r="E38"/>
  <c r="E37"/>
  <c r="D39"/>
  <c r="L39"/>
  <c r="E40"/>
  <c r="E41"/>
  <c r="G41" s="1"/>
  <c r="H41" s="1"/>
  <c r="I41"/>
  <c r="J41" s="1"/>
  <c r="E42"/>
  <c r="H42"/>
  <c r="I42" s="1"/>
  <c r="J42" s="1"/>
  <c r="E43"/>
  <c r="D44"/>
  <c r="L44"/>
  <c r="E45"/>
  <c r="G45"/>
  <c r="H45"/>
  <c r="K45" s="1"/>
  <c r="I45"/>
  <c r="J45" s="1"/>
  <c r="E46"/>
  <c r="G46"/>
  <c r="H46"/>
  <c r="I46"/>
  <c r="J46"/>
  <c r="D47"/>
  <c r="E47" s="1"/>
  <c r="L47"/>
  <c r="E48"/>
  <c r="G48"/>
  <c r="G47" s="1"/>
  <c r="D49"/>
  <c r="L49"/>
  <c r="E50"/>
  <c r="E51"/>
  <c r="H51"/>
  <c r="C52"/>
  <c r="D52"/>
  <c r="F52"/>
  <c r="G52"/>
  <c r="L52"/>
  <c r="E53"/>
  <c r="E52" s="1"/>
  <c r="H53"/>
  <c r="H52" s="1"/>
  <c r="K53"/>
  <c r="K52" s="1"/>
  <c r="C54"/>
  <c r="D54"/>
  <c r="F54"/>
  <c r="G54"/>
  <c r="H54"/>
  <c r="L54"/>
  <c r="E55"/>
  <c r="E54" s="1"/>
  <c r="H55"/>
  <c r="I55"/>
  <c r="I54" s="1"/>
  <c r="K55"/>
  <c r="K54" s="1"/>
  <c r="C56"/>
  <c r="D56"/>
  <c r="E57" s="1"/>
  <c r="F56"/>
  <c r="L56"/>
  <c r="C58"/>
  <c r="D58"/>
  <c r="G58"/>
  <c r="L58"/>
  <c r="E59"/>
  <c r="E58" s="1"/>
  <c r="H59"/>
  <c r="I59"/>
  <c r="J59" s="1"/>
  <c r="C60"/>
  <c r="D60"/>
  <c r="F60"/>
  <c r="F25" i="6" s="1"/>
  <c r="H25" s="1"/>
  <c r="G60" i="37"/>
  <c r="H60"/>
  <c r="E61"/>
  <c r="E60" s="1"/>
  <c r="H61"/>
  <c r="I61"/>
  <c r="I60" s="1"/>
  <c r="K61"/>
  <c r="K60" s="1"/>
  <c r="M62"/>
  <c r="M63"/>
  <c r="M65"/>
  <c r="M66"/>
  <c r="C67"/>
  <c r="D67" s="1"/>
  <c r="L67"/>
  <c r="L73" s="1"/>
  <c r="C68"/>
  <c r="D68" s="1"/>
  <c r="C69"/>
  <c r="D69" s="1"/>
  <c r="C70"/>
  <c r="D70" s="1"/>
  <c r="C71"/>
  <c r="D71"/>
  <c r="L71"/>
  <c r="M71"/>
  <c r="C72"/>
  <c r="D72"/>
  <c r="M72"/>
  <c r="F51" i="6" s="1"/>
  <c r="C73" i="37"/>
  <c r="D73" s="1"/>
  <c r="C74"/>
  <c r="D74" s="1"/>
  <c r="C75"/>
  <c r="H37" i="6" s="1"/>
  <c r="C76" i="37"/>
  <c r="C7" i="6"/>
  <c r="D7"/>
  <c r="A8"/>
  <c r="A9"/>
  <c r="A10"/>
  <c r="A1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G11"/>
  <c r="H11" s="1"/>
  <c r="D12"/>
  <c r="E12" s="1"/>
  <c r="D13"/>
  <c r="F13"/>
  <c r="D15"/>
  <c r="D19"/>
  <c r="E19" s="1"/>
  <c r="F18" i="70" s="1"/>
  <c r="D20" i="6"/>
  <c r="E20" s="1"/>
  <c r="G21"/>
  <c r="H21" s="1"/>
  <c r="D22"/>
  <c r="E22" s="1"/>
  <c r="F21" i="70" s="1"/>
  <c r="L22" i="6"/>
  <c r="D23"/>
  <c r="D24"/>
  <c r="G24"/>
  <c r="H24" s="1"/>
  <c r="C25"/>
  <c r="H32"/>
  <c r="I32" s="1"/>
  <c r="H33"/>
  <c r="I33" s="1"/>
  <c r="C34"/>
  <c r="H34"/>
  <c r="I34" s="1"/>
  <c r="C35"/>
  <c r="E35"/>
  <c r="C36"/>
  <c r="E36"/>
  <c r="I37"/>
  <c r="E51"/>
  <c r="L16" i="70"/>
  <c r="M16"/>
  <c r="L17"/>
  <c r="M17"/>
  <c r="L18"/>
  <c r="M18"/>
  <c r="L19"/>
  <c r="M19"/>
  <c r="F27"/>
  <c r="K31"/>
  <c r="H33"/>
  <c r="H34"/>
  <c r="K34"/>
  <c r="H35"/>
  <c r="H36"/>
  <c r="H37"/>
  <c r="K37"/>
  <c r="H38"/>
  <c r="K38"/>
  <c r="H39"/>
  <c r="K39"/>
  <c r="D41"/>
  <c r="B10" i="35"/>
  <c r="C10"/>
  <c r="D10"/>
  <c r="E10"/>
  <c r="G14"/>
  <c r="I14" s="1"/>
  <c r="G15"/>
  <c r="I15" s="1"/>
  <c r="B18"/>
  <c r="C18"/>
  <c r="D18"/>
  <c r="E18"/>
  <c r="G19"/>
  <c r="B20"/>
  <c r="C20"/>
  <c r="D20"/>
  <c r="E20"/>
  <c r="B22"/>
  <c r="C22"/>
  <c r="D22"/>
  <c r="E22"/>
  <c r="B24"/>
  <c r="C24"/>
  <c r="D24"/>
  <c r="E24"/>
  <c r="B26"/>
  <c r="C26"/>
  <c r="D26"/>
  <c r="E26"/>
  <c r="G27"/>
  <c r="H27"/>
  <c r="I27"/>
  <c r="H28"/>
  <c r="B30"/>
  <c r="C30"/>
  <c r="D30"/>
  <c r="E30"/>
  <c r="G31"/>
  <c r="I31" s="1"/>
  <c r="H31"/>
  <c r="G32"/>
  <c r="I32" s="1"/>
  <c r="H32"/>
  <c r="F33"/>
  <c r="G33"/>
  <c r="B34"/>
  <c r="C34"/>
  <c r="D34"/>
  <c r="E34"/>
  <c r="B36"/>
  <c r="C36"/>
  <c r="D36"/>
  <c r="E36"/>
  <c r="G38"/>
  <c r="I38" s="1"/>
  <c r="B39"/>
  <c r="D39"/>
  <c r="E39"/>
  <c r="C40"/>
  <c r="C39" s="1"/>
  <c r="B41"/>
  <c r="C41"/>
  <c r="D41"/>
  <c r="E41"/>
  <c r="G42"/>
  <c r="I42" s="1"/>
  <c r="K43"/>
  <c r="B46"/>
  <c r="C46"/>
  <c r="D46"/>
  <c r="E46"/>
  <c r="H47"/>
  <c r="H46" s="1"/>
  <c r="B48"/>
  <c r="C48"/>
  <c r="D48"/>
  <c r="E48"/>
  <c r="G49"/>
  <c r="K51"/>
  <c r="B52"/>
  <c r="C52"/>
  <c r="D52"/>
  <c r="E52"/>
  <c r="H53"/>
  <c r="H52" s="1"/>
  <c r="C77" i="37"/>
  <c r="L70" s="1"/>
  <c r="E49" i="6" s="1"/>
  <c r="E49" i="37"/>
  <c r="H48"/>
  <c r="K48" s="1"/>
  <c r="K47" s="1"/>
  <c r="I44"/>
  <c r="G44"/>
  <c r="E44"/>
  <c r="H33"/>
  <c r="K34"/>
  <c r="K33" s="1"/>
  <c r="E33"/>
  <c r="G32"/>
  <c r="H32" s="1"/>
  <c r="H28"/>
  <c r="K29"/>
  <c r="I29"/>
  <c r="K25"/>
  <c r="K24" s="1"/>
  <c r="G13"/>
  <c r="H16"/>
  <c r="H14"/>
  <c r="K14" s="1"/>
  <c r="E8"/>
  <c r="I48"/>
  <c r="J48" s="1"/>
  <c r="J29"/>
  <c r="M29" s="1"/>
  <c r="I16"/>
  <c r="J16" s="1"/>
  <c r="K16"/>
  <c r="I47"/>
  <c r="K10"/>
  <c r="K46"/>
  <c r="H44"/>
  <c r="M46"/>
  <c r="G43"/>
  <c r="H43" s="1"/>
  <c r="I43" i="62"/>
  <c r="J43" s="1"/>
  <c r="M43"/>
  <c r="I19"/>
  <c r="J19" s="1"/>
  <c r="M19" s="1"/>
  <c r="I10"/>
  <c r="J10" s="1"/>
  <c r="I11"/>
  <c r="J11" s="1"/>
  <c r="I29"/>
  <c r="I28" s="1"/>
  <c r="I30"/>
  <c r="J30" s="1"/>
  <c r="I34"/>
  <c r="J34" s="1"/>
  <c r="I35"/>
  <c r="J35" s="1"/>
  <c r="G41"/>
  <c r="H41" s="1"/>
  <c r="K41" s="1"/>
  <c r="M41" s="1"/>
  <c r="I42"/>
  <c r="J42"/>
  <c r="M42" s="1"/>
  <c r="I61"/>
  <c r="J61" s="1"/>
  <c r="I53"/>
  <c r="D67"/>
  <c r="I43" i="63"/>
  <c r="J43" s="1"/>
  <c r="M43" s="1"/>
  <c r="M39" s="1"/>
  <c r="J53"/>
  <c r="I52"/>
  <c r="I10"/>
  <c r="J10" s="1"/>
  <c r="I11"/>
  <c r="J11" s="1"/>
  <c r="M11"/>
  <c r="I34"/>
  <c r="J35"/>
  <c r="G41"/>
  <c r="I42"/>
  <c r="J42"/>
  <c r="M42" s="1"/>
  <c r="E52"/>
  <c r="H54"/>
  <c r="I55"/>
  <c r="J55" s="1"/>
  <c r="I59"/>
  <c r="I61"/>
  <c r="J61" s="1"/>
  <c r="D67"/>
  <c r="D77" s="1"/>
  <c r="M70" s="1"/>
  <c r="K19" i="64"/>
  <c r="J19"/>
  <c r="K40"/>
  <c r="G57"/>
  <c r="G56" s="1"/>
  <c r="E56"/>
  <c r="E8"/>
  <c r="I10"/>
  <c r="J10" s="1"/>
  <c r="I11"/>
  <c r="J11" s="1"/>
  <c r="M11" s="1"/>
  <c r="G13"/>
  <c r="I29"/>
  <c r="J29" s="1"/>
  <c r="I30"/>
  <c r="J30" s="1"/>
  <c r="I34"/>
  <c r="I35"/>
  <c r="J35" s="1"/>
  <c r="G41"/>
  <c r="I42"/>
  <c r="J42" s="1"/>
  <c r="I55"/>
  <c r="I61"/>
  <c r="D67"/>
  <c r="E39" i="37"/>
  <c r="G40"/>
  <c r="H40" s="1"/>
  <c r="I30"/>
  <c r="I19"/>
  <c r="J19" s="1"/>
  <c r="E13"/>
  <c r="D64"/>
  <c r="C64"/>
  <c r="K11"/>
  <c r="H9"/>
  <c r="I9" s="1"/>
  <c r="F8"/>
  <c r="J53" i="62"/>
  <c r="I52"/>
  <c r="I60"/>
  <c r="I33"/>
  <c r="J29"/>
  <c r="J59" i="63"/>
  <c r="I58"/>
  <c r="H41"/>
  <c r="J34"/>
  <c r="I33"/>
  <c r="J52"/>
  <c r="M53"/>
  <c r="M52" s="1"/>
  <c r="I60"/>
  <c r="I54"/>
  <c r="J61" i="64"/>
  <c r="I60"/>
  <c r="J55"/>
  <c r="I54"/>
  <c r="M42"/>
  <c r="H57"/>
  <c r="H41"/>
  <c r="J34"/>
  <c r="I33"/>
  <c r="I28"/>
  <c r="G37" i="37"/>
  <c r="H38"/>
  <c r="G39"/>
  <c r="J30"/>
  <c r="I28"/>
  <c r="M19"/>
  <c r="K9"/>
  <c r="K8" s="1"/>
  <c r="M61" i="62"/>
  <c r="M60" s="1"/>
  <c r="J60"/>
  <c r="J52"/>
  <c r="K41" i="63"/>
  <c r="M59"/>
  <c r="M58"/>
  <c r="J58"/>
  <c r="M55"/>
  <c r="M54" s="1"/>
  <c r="J54"/>
  <c r="J60"/>
  <c r="M40" i="64"/>
  <c r="H56"/>
  <c r="K57"/>
  <c r="K56"/>
  <c r="I57"/>
  <c r="M61"/>
  <c r="M60" s="1"/>
  <c r="J60"/>
  <c r="J33"/>
  <c r="K41"/>
  <c r="M55"/>
  <c r="M54"/>
  <c r="J54"/>
  <c r="H37" i="37"/>
  <c r="I38"/>
  <c r="K40"/>
  <c r="I40"/>
  <c r="J28"/>
  <c r="M30"/>
  <c r="J9"/>
  <c r="M9" s="1"/>
  <c r="M41" i="63"/>
  <c r="J57" i="64"/>
  <c r="I56"/>
  <c r="I37" i="37"/>
  <c r="J38"/>
  <c r="M38" s="1"/>
  <c r="M37" s="1"/>
  <c r="J40"/>
  <c r="M57" i="64"/>
  <c r="M56"/>
  <c r="J56"/>
  <c r="J37" i="37"/>
  <c r="M40"/>
  <c r="C77" i="62"/>
  <c r="L70" s="1"/>
  <c r="H52"/>
  <c r="E49"/>
  <c r="K48"/>
  <c r="K47" s="1"/>
  <c r="I48"/>
  <c r="I47" s="1"/>
  <c r="H47"/>
  <c r="I44"/>
  <c r="K45"/>
  <c r="K44" s="1"/>
  <c r="H44"/>
  <c r="M45"/>
  <c r="G44"/>
  <c r="E39"/>
  <c r="M34"/>
  <c r="H33"/>
  <c r="E33"/>
  <c r="E31"/>
  <c r="H28"/>
  <c r="M30"/>
  <c r="E20"/>
  <c r="I17"/>
  <c r="J17" s="1"/>
  <c r="M17" s="1"/>
  <c r="K17"/>
  <c r="K16"/>
  <c r="I16"/>
  <c r="J16" s="1"/>
  <c r="I15"/>
  <c r="J15" s="1"/>
  <c r="M15" s="1"/>
  <c r="K15"/>
  <c r="F13"/>
  <c r="M10"/>
  <c r="H12"/>
  <c r="I12" s="1"/>
  <c r="G8"/>
  <c r="E8"/>
  <c r="H9"/>
  <c r="F8"/>
  <c r="F64" s="1"/>
  <c r="C77" i="63"/>
  <c r="L70" s="1"/>
  <c r="H50"/>
  <c r="E49"/>
  <c r="H47"/>
  <c r="I48"/>
  <c r="K48"/>
  <c r="K47" s="1"/>
  <c r="M46"/>
  <c r="K45"/>
  <c r="K44"/>
  <c r="H44"/>
  <c r="M45"/>
  <c r="M44" s="1"/>
  <c r="J44"/>
  <c r="G44"/>
  <c r="H40"/>
  <c r="G39"/>
  <c r="M34"/>
  <c r="H33"/>
  <c r="J33"/>
  <c r="H32"/>
  <c r="G31"/>
  <c r="E31"/>
  <c r="K28"/>
  <c r="I29"/>
  <c r="G27"/>
  <c r="E26"/>
  <c r="E24"/>
  <c r="I25"/>
  <c r="E22"/>
  <c r="G23"/>
  <c r="G22" s="1"/>
  <c r="K18"/>
  <c r="I18"/>
  <c r="J18"/>
  <c r="M18" s="1"/>
  <c r="I17"/>
  <c r="J17" s="1"/>
  <c r="M17" s="1"/>
  <c r="K17"/>
  <c r="K16"/>
  <c r="I16"/>
  <c r="J16"/>
  <c r="M16" s="1"/>
  <c r="I15"/>
  <c r="J15" s="1"/>
  <c r="K15"/>
  <c r="I14"/>
  <c r="K14"/>
  <c r="F13"/>
  <c r="M10"/>
  <c r="G8"/>
  <c r="H12"/>
  <c r="I12"/>
  <c r="J12" s="1"/>
  <c r="H9"/>
  <c r="F8"/>
  <c r="F64" s="1"/>
  <c r="C77" i="64"/>
  <c r="L70" s="1"/>
  <c r="I53"/>
  <c r="I52" s="1"/>
  <c r="E52"/>
  <c r="G49"/>
  <c r="H50"/>
  <c r="E49"/>
  <c r="H47"/>
  <c r="I48"/>
  <c r="K48"/>
  <c r="K47" s="1"/>
  <c r="K46"/>
  <c r="M46"/>
  <c r="K45"/>
  <c r="K44"/>
  <c r="H44"/>
  <c r="M45"/>
  <c r="M44" s="1"/>
  <c r="J44"/>
  <c r="G44"/>
  <c r="H43"/>
  <c r="G39"/>
  <c r="E39"/>
  <c r="J41"/>
  <c r="M34"/>
  <c r="H33"/>
  <c r="G31"/>
  <c r="H32"/>
  <c r="E31"/>
  <c r="H28"/>
  <c r="E26"/>
  <c r="E24"/>
  <c r="I25"/>
  <c r="G22"/>
  <c r="E22"/>
  <c r="H20"/>
  <c r="E20"/>
  <c r="K18"/>
  <c r="I18"/>
  <c r="J18" s="1"/>
  <c r="M18" s="1"/>
  <c r="I17"/>
  <c r="J17"/>
  <c r="M17" s="1"/>
  <c r="K17"/>
  <c r="K16"/>
  <c r="I16"/>
  <c r="J16" s="1"/>
  <c r="M16" s="1"/>
  <c r="K15"/>
  <c r="I15"/>
  <c r="J15" s="1"/>
  <c r="M15" s="1"/>
  <c r="H13"/>
  <c r="I14"/>
  <c r="J14" s="1"/>
  <c r="H12"/>
  <c r="I12" s="1"/>
  <c r="G8"/>
  <c r="H9"/>
  <c r="H8" s="1"/>
  <c r="F8"/>
  <c r="F64" s="1"/>
  <c r="F64" i="37"/>
  <c r="J48" i="62"/>
  <c r="J47" s="1"/>
  <c r="I9"/>
  <c r="J9" s="1"/>
  <c r="K50" i="63"/>
  <c r="K49" s="1"/>
  <c r="I50"/>
  <c r="J50" s="1"/>
  <c r="J48"/>
  <c r="I47"/>
  <c r="I40"/>
  <c r="K40"/>
  <c r="K39" s="1"/>
  <c r="H39"/>
  <c r="H31"/>
  <c r="I32"/>
  <c r="I31" s="1"/>
  <c r="J29"/>
  <c r="M29" s="1"/>
  <c r="H27"/>
  <c r="G26"/>
  <c r="I24"/>
  <c r="J25"/>
  <c r="J21"/>
  <c r="I20"/>
  <c r="J14"/>
  <c r="M14" s="1"/>
  <c r="H8"/>
  <c r="K9"/>
  <c r="K8"/>
  <c r="I9"/>
  <c r="K50" i="64"/>
  <c r="K49" s="1"/>
  <c r="I50"/>
  <c r="H49"/>
  <c r="J48"/>
  <c r="I47"/>
  <c r="K43"/>
  <c r="K39"/>
  <c r="H39"/>
  <c r="I43"/>
  <c r="J43" s="1"/>
  <c r="M41"/>
  <c r="I32"/>
  <c r="I31" s="1"/>
  <c r="H31"/>
  <c r="H27"/>
  <c r="K27" s="1"/>
  <c r="K26" s="1"/>
  <c r="G26"/>
  <c r="J25"/>
  <c r="I24"/>
  <c r="I20"/>
  <c r="J21"/>
  <c r="I13"/>
  <c r="K9"/>
  <c r="I9"/>
  <c r="M48" i="62"/>
  <c r="M47" s="1"/>
  <c r="M48" i="63"/>
  <c r="M47" s="1"/>
  <c r="J47"/>
  <c r="J40"/>
  <c r="I39"/>
  <c r="J32"/>
  <c r="J31" s="1"/>
  <c r="H26"/>
  <c r="K27"/>
  <c r="K26" s="1"/>
  <c r="I27"/>
  <c r="J24"/>
  <c r="M21"/>
  <c r="M20" s="1"/>
  <c r="J20"/>
  <c r="I8"/>
  <c r="J9"/>
  <c r="J50" i="64"/>
  <c r="M50" s="1"/>
  <c r="M48"/>
  <c r="M47" s="1"/>
  <c r="J47"/>
  <c r="I39"/>
  <c r="J32"/>
  <c r="H26"/>
  <c r="J24"/>
  <c r="M21"/>
  <c r="M20" s="1"/>
  <c r="J20"/>
  <c r="J9"/>
  <c r="M9" s="1"/>
  <c r="M40" i="63"/>
  <c r="J39"/>
  <c r="M32"/>
  <c r="M31" s="1"/>
  <c r="I26"/>
  <c r="J27"/>
  <c r="M9"/>
  <c r="M32" i="64"/>
  <c r="M31" s="1"/>
  <c r="J31"/>
  <c r="M27" i="63"/>
  <c r="M26" s="1"/>
  <c r="J26"/>
  <c r="H31" i="6"/>
  <c r="I31" s="1"/>
  <c r="H23" i="35"/>
  <c r="H22" s="1"/>
  <c r="G45"/>
  <c r="I45" s="1"/>
  <c r="K35" i="70"/>
  <c r="G27" l="1"/>
  <c r="I27"/>
  <c r="J27" s="1"/>
  <c r="G18"/>
  <c r="I18"/>
  <c r="C77" i="68"/>
  <c r="L70" s="1"/>
  <c r="K48"/>
  <c r="K47" s="1"/>
  <c r="H47"/>
  <c r="E37"/>
  <c r="H33"/>
  <c r="H28"/>
  <c r="E20"/>
  <c r="G13"/>
  <c r="C64"/>
  <c r="C77" i="1"/>
  <c r="L70" s="1"/>
  <c r="H52"/>
  <c r="E49"/>
  <c r="G47"/>
  <c r="M46"/>
  <c r="H38"/>
  <c r="G37"/>
  <c r="H33"/>
  <c r="I30"/>
  <c r="J30" s="1"/>
  <c r="M30" s="1"/>
  <c r="I29"/>
  <c r="E28"/>
  <c r="G13"/>
  <c r="M10"/>
  <c r="E8"/>
  <c r="H9"/>
  <c r="F8"/>
  <c r="F64" s="1"/>
  <c r="C77" i="39"/>
  <c r="L70" s="1"/>
  <c r="H38"/>
  <c r="G37"/>
  <c r="I35"/>
  <c r="J35" s="1"/>
  <c r="M35" s="1"/>
  <c r="I34"/>
  <c r="E33"/>
  <c r="I30"/>
  <c r="J30" s="1"/>
  <c r="M30" s="1"/>
  <c r="I29"/>
  <c r="E28"/>
  <c r="E20"/>
  <c r="C64"/>
  <c r="H9"/>
  <c r="F8"/>
  <c r="F64" s="1"/>
  <c r="C77" i="38"/>
  <c r="L70" s="1"/>
  <c r="E49"/>
  <c r="G44"/>
  <c r="E37"/>
  <c r="H33"/>
  <c r="I34"/>
  <c r="E33"/>
  <c r="H32"/>
  <c r="G31"/>
  <c r="I30"/>
  <c r="J30" s="1"/>
  <c r="I29"/>
  <c r="E28"/>
  <c r="E20"/>
  <c r="C64"/>
  <c r="C77" i="40"/>
  <c r="L70" s="1"/>
  <c r="H55"/>
  <c r="G54"/>
  <c r="E49"/>
  <c r="K48"/>
  <c r="K47" s="1"/>
  <c r="H47"/>
  <c r="E37"/>
  <c r="H33"/>
  <c r="I33" i="35"/>
  <c r="H28" i="40"/>
  <c r="H32"/>
  <c r="G31"/>
  <c r="E31"/>
  <c r="Q15" i="70"/>
  <c r="O15"/>
  <c r="M15"/>
  <c r="L15"/>
  <c r="P15"/>
  <c r="N15"/>
  <c r="E49" i="41"/>
  <c r="K48"/>
  <c r="K47" s="1"/>
  <c r="H47"/>
  <c r="E37"/>
  <c r="H33"/>
  <c r="H28"/>
  <c r="I29"/>
  <c r="E28"/>
  <c r="E20"/>
  <c r="C64"/>
  <c r="M10"/>
  <c r="H9"/>
  <c r="F8"/>
  <c r="F64" s="1"/>
  <c r="E8"/>
  <c r="C77" i="48"/>
  <c r="L70" s="1"/>
  <c r="C31" i="6"/>
  <c r="F29" i="70" s="1"/>
  <c r="C77" i="41"/>
  <c r="L70" s="1"/>
  <c r="C77" i="42"/>
  <c r="L70" s="1"/>
  <c r="K48"/>
  <c r="K47" s="1"/>
  <c r="H47"/>
  <c r="G44"/>
  <c r="M46"/>
  <c r="H38"/>
  <c r="G37"/>
  <c r="H33"/>
  <c r="I34"/>
  <c r="E33"/>
  <c r="H32"/>
  <c r="G31"/>
  <c r="I30"/>
  <c r="J30" s="1"/>
  <c r="I29"/>
  <c r="E28"/>
  <c r="E20"/>
  <c r="I10"/>
  <c r="J10" s="1"/>
  <c r="M10" s="1"/>
  <c r="C64"/>
  <c r="E8"/>
  <c r="H9"/>
  <c r="F8"/>
  <c r="F64" s="1"/>
  <c r="K48" i="43"/>
  <c r="K47" s="1"/>
  <c r="H47"/>
  <c r="M46"/>
  <c r="E37"/>
  <c r="H33"/>
  <c r="I30"/>
  <c r="J30" s="1"/>
  <c r="M30" s="1"/>
  <c r="K28"/>
  <c r="D64"/>
  <c r="E28"/>
  <c r="E20"/>
  <c r="G13"/>
  <c r="C64"/>
  <c r="M11"/>
  <c r="M10"/>
  <c r="E8"/>
  <c r="H9"/>
  <c r="F8"/>
  <c r="F64" s="1"/>
  <c r="C77" i="44"/>
  <c r="L70" s="1"/>
  <c r="G44"/>
  <c r="H38"/>
  <c r="G37"/>
  <c r="H33" i="35"/>
  <c r="M33" s="1"/>
  <c r="I35" i="44"/>
  <c r="J35" s="1"/>
  <c r="M35" s="1"/>
  <c r="K33"/>
  <c r="I34"/>
  <c r="E33"/>
  <c r="H32"/>
  <c r="G31"/>
  <c r="I30"/>
  <c r="J30" s="1"/>
  <c r="M30" s="1"/>
  <c r="I29"/>
  <c r="E28"/>
  <c r="E20"/>
  <c r="C64"/>
  <c r="M11"/>
  <c r="M10"/>
  <c r="E8"/>
  <c r="C77" i="45"/>
  <c r="L70" s="1"/>
  <c r="K48"/>
  <c r="K47" s="1"/>
  <c r="H47"/>
  <c r="G44"/>
  <c r="E37"/>
  <c r="H33"/>
  <c r="H32"/>
  <c r="G31"/>
  <c r="E31"/>
  <c r="H28"/>
  <c r="I29"/>
  <c r="E28"/>
  <c r="E20"/>
  <c r="G13"/>
  <c r="M10"/>
  <c r="H9"/>
  <c r="F8"/>
  <c r="F64" s="1"/>
  <c r="E8"/>
  <c r="D77" i="46"/>
  <c r="M70" s="1"/>
  <c r="C77"/>
  <c r="L70" s="1"/>
  <c r="H52"/>
  <c r="I53"/>
  <c r="E54"/>
  <c r="E37"/>
  <c r="H33"/>
  <c r="H28"/>
  <c r="C64"/>
  <c r="H12"/>
  <c r="I12" s="1"/>
  <c r="J12" s="1"/>
  <c r="M12" s="1"/>
  <c r="G8"/>
  <c r="E8"/>
  <c r="C77" i="47"/>
  <c r="L70" s="1"/>
  <c r="G47"/>
  <c r="H38"/>
  <c r="G37"/>
  <c r="I35"/>
  <c r="J35" s="1"/>
  <c r="M35" s="1"/>
  <c r="K33"/>
  <c r="H32"/>
  <c r="G31"/>
  <c r="K28"/>
  <c r="M30"/>
  <c r="I29"/>
  <c r="G27"/>
  <c r="E26"/>
  <c r="E20"/>
  <c r="I10"/>
  <c r="J10" s="1"/>
  <c r="M10" s="1"/>
  <c r="D64"/>
  <c r="E8"/>
  <c r="H38" i="48"/>
  <c r="G37"/>
  <c r="I35"/>
  <c r="J35" s="1"/>
  <c r="M35" s="1"/>
  <c r="K33"/>
  <c r="E33"/>
  <c r="H32"/>
  <c r="G31"/>
  <c r="I30"/>
  <c r="J30" s="1"/>
  <c r="M30" s="1"/>
  <c r="K28"/>
  <c r="E28"/>
  <c r="E20"/>
  <c r="G13"/>
  <c r="I10"/>
  <c r="J10" s="1"/>
  <c r="H9"/>
  <c r="F8"/>
  <c r="F64" s="1"/>
  <c r="E8"/>
  <c r="C77" i="49"/>
  <c r="L70" s="1"/>
  <c r="E52"/>
  <c r="G47"/>
  <c r="M46"/>
  <c r="G44"/>
  <c r="E37"/>
  <c r="I35"/>
  <c r="J35" s="1"/>
  <c r="M35" s="1"/>
  <c r="H33"/>
  <c r="I34"/>
  <c r="E33"/>
  <c r="H28"/>
  <c r="E20"/>
  <c r="G13"/>
  <c r="M10"/>
  <c r="E8"/>
  <c r="H9"/>
  <c r="F8"/>
  <c r="F64" s="1"/>
  <c r="C77" i="50"/>
  <c r="L70" s="1"/>
  <c r="E49"/>
  <c r="G47"/>
  <c r="H38"/>
  <c r="G37"/>
  <c r="I35"/>
  <c r="J35" s="1"/>
  <c r="M35" s="1"/>
  <c r="H33"/>
  <c r="H32"/>
  <c r="G31"/>
  <c r="I30"/>
  <c r="J30" s="1"/>
  <c r="M30" s="1"/>
  <c r="I29"/>
  <c r="E28"/>
  <c r="E20"/>
  <c r="I11"/>
  <c r="J11" s="1"/>
  <c r="M11" s="1"/>
  <c r="I10"/>
  <c r="J10" s="1"/>
  <c r="M10" s="1"/>
  <c r="E8"/>
  <c r="H9"/>
  <c r="F8"/>
  <c r="F64" s="1"/>
  <c r="C77" i="51"/>
  <c r="L70" s="1"/>
  <c r="K48"/>
  <c r="K47" s="1"/>
  <c r="H47"/>
  <c r="E37"/>
  <c r="H33"/>
  <c r="H28"/>
  <c r="E20"/>
  <c r="C64"/>
  <c r="H12"/>
  <c r="I12" s="1"/>
  <c r="J12" s="1"/>
  <c r="M12" s="1"/>
  <c r="G8"/>
  <c r="E8"/>
  <c r="C77" i="52"/>
  <c r="L70" s="1"/>
  <c r="I53"/>
  <c r="E52"/>
  <c r="E37"/>
  <c r="H33"/>
  <c r="H32"/>
  <c r="G31"/>
  <c r="H28"/>
  <c r="E20"/>
  <c r="M10"/>
  <c r="E8"/>
  <c r="H9"/>
  <c r="F8"/>
  <c r="F64" s="1"/>
  <c r="C77" i="53"/>
  <c r="L70" s="1"/>
  <c r="E49"/>
  <c r="G47"/>
  <c r="M46"/>
  <c r="E37"/>
  <c r="H33"/>
  <c r="H28"/>
  <c r="E20"/>
  <c r="G13"/>
  <c r="M10"/>
  <c r="H9"/>
  <c r="F8"/>
  <c r="F64" s="1"/>
  <c r="E8"/>
  <c r="H27" i="70"/>
  <c r="C77" i="54"/>
  <c r="L70" s="1"/>
  <c r="H52"/>
  <c r="E49"/>
  <c r="M46"/>
  <c r="G44"/>
  <c r="E37"/>
  <c r="H33"/>
  <c r="I30"/>
  <c r="J30" s="1"/>
  <c r="M30" s="1"/>
  <c r="I29"/>
  <c r="E28"/>
  <c r="E20"/>
  <c r="G13"/>
  <c r="C64"/>
  <c r="M10"/>
  <c r="H9"/>
  <c r="F8"/>
  <c r="F64" s="1"/>
  <c r="C77" i="55"/>
  <c r="L70" s="1"/>
  <c r="E49"/>
  <c r="G47"/>
  <c r="M46"/>
  <c r="H38"/>
  <c r="G37"/>
  <c r="I35"/>
  <c r="J35" s="1"/>
  <c r="M35" s="1"/>
  <c r="I34"/>
  <c r="E33"/>
  <c r="H32"/>
  <c r="G31"/>
  <c r="E31"/>
  <c r="I30"/>
  <c r="J30" s="1"/>
  <c r="M30" s="1"/>
  <c r="H28"/>
  <c r="E20"/>
  <c r="C64"/>
  <c r="C77" i="56"/>
  <c r="L70" s="1"/>
  <c r="I59"/>
  <c r="E58"/>
  <c r="G55" i="35"/>
  <c r="I55" s="1"/>
  <c r="H55" i="56"/>
  <c r="G54"/>
  <c r="H52"/>
  <c r="K48"/>
  <c r="K47" s="1"/>
  <c r="H47"/>
  <c r="E44"/>
  <c r="E37"/>
  <c r="I25"/>
  <c r="E24"/>
  <c r="G23"/>
  <c r="G22" s="1"/>
  <c r="H23" s="1"/>
  <c r="H22" s="1"/>
  <c r="E22"/>
  <c r="H20"/>
  <c r="E20"/>
  <c r="I17"/>
  <c r="J17" s="1"/>
  <c r="C64"/>
  <c r="E49" i="57"/>
  <c r="K48"/>
  <c r="K47" s="1"/>
  <c r="H47"/>
  <c r="E37"/>
  <c r="H33"/>
  <c r="H28"/>
  <c r="I29"/>
  <c r="E28"/>
  <c r="C64"/>
  <c r="H12"/>
  <c r="I12" s="1"/>
  <c r="J12" s="1"/>
  <c r="M12" s="1"/>
  <c r="G8"/>
  <c r="E8"/>
  <c r="C77" i="58"/>
  <c r="L70" s="1"/>
  <c r="E49"/>
  <c r="G47"/>
  <c r="M46"/>
  <c r="E37"/>
  <c r="H33"/>
  <c r="H32"/>
  <c r="G31"/>
  <c r="M30"/>
  <c r="K28"/>
  <c r="E28"/>
  <c r="D64"/>
  <c r="E20"/>
  <c r="I10"/>
  <c r="J10" s="1"/>
  <c r="M10" s="1"/>
  <c r="E8"/>
  <c r="H9"/>
  <c r="F8"/>
  <c r="F64" s="1"/>
  <c r="C77" i="59"/>
  <c r="L70" s="1"/>
  <c r="E49"/>
  <c r="G47"/>
  <c r="E39"/>
  <c r="E37"/>
  <c r="D64"/>
  <c r="H33"/>
  <c r="I30"/>
  <c r="J30" s="1"/>
  <c r="M30" s="1"/>
  <c r="K28"/>
  <c r="E28"/>
  <c r="E20"/>
  <c r="G13"/>
  <c r="M10"/>
  <c r="H9"/>
  <c r="F8"/>
  <c r="F64" s="1"/>
  <c r="E50" i="6"/>
  <c r="C77" i="60"/>
  <c r="L70" s="1"/>
  <c r="G53" i="35"/>
  <c r="G52" s="1"/>
  <c r="H52" i="60"/>
  <c r="E49"/>
  <c r="H38"/>
  <c r="G37"/>
  <c r="H33"/>
  <c r="H32"/>
  <c r="G31"/>
  <c r="I30"/>
  <c r="J30" s="1"/>
  <c r="M30" s="1"/>
  <c r="K28"/>
  <c r="E28"/>
  <c r="G13"/>
  <c r="C64"/>
  <c r="I10"/>
  <c r="J10" s="1"/>
  <c r="E8"/>
  <c r="H9"/>
  <c r="F8"/>
  <c r="F64" s="1"/>
  <c r="C77" i="61"/>
  <c r="L70" s="1"/>
  <c r="K59"/>
  <c r="K58" s="1"/>
  <c r="H55" i="35"/>
  <c r="H54" s="1"/>
  <c r="G54"/>
  <c r="G47" i="61"/>
  <c r="E37"/>
  <c r="H33"/>
  <c r="G30" i="35"/>
  <c r="H28" i="61"/>
  <c r="C64"/>
  <c r="H9"/>
  <c r="F8"/>
  <c r="F64" s="1"/>
  <c r="H38" i="6"/>
  <c r="H58" i="62"/>
  <c r="E58"/>
  <c r="I59"/>
  <c r="G57"/>
  <c r="G56" s="1"/>
  <c r="H57" s="1"/>
  <c r="E56"/>
  <c r="G47"/>
  <c r="J44"/>
  <c r="D17" i="6"/>
  <c r="E17" s="1"/>
  <c r="E37" i="62"/>
  <c r="K33"/>
  <c r="G13" i="6"/>
  <c r="J28" i="62"/>
  <c r="E22"/>
  <c r="G23"/>
  <c r="G22" s="1"/>
  <c r="H23" s="1"/>
  <c r="H20"/>
  <c r="G13" i="35"/>
  <c r="I13" s="1"/>
  <c r="C64" i="62"/>
  <c r="H8"/>
  <c r="E7" i="6"/>
  <c r="K9" i="62"/>
  <c r="M9" s="1"/>
  <c r="H12" i="69"/>
  <c r="I12" s="1"/>
  <c r="J12" s="1"/>
  <c r="M12" s="1"/>
  <c r="G8"/>
  <c r="K14"/>
  <c r="I14"/>
  <c r="H13"/>
  <c r="K18"/>
  <c r="I18"/>
  <c r="J18" s="1"/>
  <c r="M18" s="1"/>
  <c r="H20"/>
  <c r="I21"/>
  <c r="E26"/>
  <c r="G27"/>
  <c r="J34"/>
  <c r="I33"/>
  <c r="H44"/>
  <c r="K45"/>
  <c r="K44" s="1"/>
  <c r="K48"/>
  <c r="K47" s="1"/>
  <c r="I48"/>
  <c r="H47"/>
  <c r="G49"/>
  <c r="H50"/>
  <c r="M46"/>
  <c r="K9"/>
  <c r="K8" s="1"/>
  <c r="I9"/>
  <c r="H8"/>
  <c r="K16"/>
  <c r="I16"/>
  <c r="J16" s="1"/>
  <c r="M16" s="1"/>
  <c r="G23"/>
  <c r="G22" s="1"/>
  <c r="H23" s="1"/>
  <c r="E22"/>
  <c r="E64" s="1"/>
  <c r="J29"/>
  <c r="I28"/>
  <c r="G31"/>
  <c r="H32"/>
  <c r="I38"/>
  <c r="H37"/>
  <c r="H40"/>
  <c r="K43"/>
  <c r="I43"/>
  <c r="J43" s="1"/>
  <c r="M43" s="1"/>
  <c r="M45"/>
  <c r="M44" s="1"/>
  <c r="J44"/>
  <c r="J53"/>
  <c r="I52"/>
  <c r="H55"/>
  <c r="G54"/>
  <c r="G57"/>
  <c r="G56" s="1"/>
  <c r="H57" s="1"/>
  <c r="E56"/>
  <c r="M30"/>
  <c r="I15"/>
  <c r="J15" s="1"/>
  <c r="M15" s="1"/>
  <c r="I17"/>
  <c r="J17" s="1"/>
  <c r="M17" s="1"/>
  <c r="I19"/>
  <c r="J19" s="1"/>
  <c r="M19" s="1"/>
  <c r="I25"/>
  <c r="I59"/>
  <c r="I61"/>
  <c r="G41"/>
  <c r="H41" s="1"/>
  <c r="K41" s="1"/>
  <c r="M41" s="1"/>
  <c r="I42"/>
  <c r="J42" s="1"/>
  <c r="M42" s="1"/>
  <c r="D67"/>
  <c r="D77" s="1"/>
  <c r="M70" s="1"/>
  <c r="H12" i="68"/>
  <c r="I12" s="1"/>
  <c r="J12" s="1"/>
  <c r="M12" s="1"/>
  <c r="G8"/>
  <c r="H20"/>
  <c r="E26"/>
  <c r="G27"/>
  <c r="G37"/>
  <c r="H38"/>
  <c r="K43"/>
  <c r="I43"/>
  <c r="J43" s="1"/>
  <c r="M43" s="1"/>
  <c r="J44"/>
  <c r="J53"/>
  <c r="I52"/>
  <c r="H55"/>
  <c r="G54"/>
  <c r="G57"/>
  <c r="G56" s="1"/>
  <c r="H57" s="1"/>
  <c r="E56"/>
  <c r="H9"/>
  <c r="F8"/>
  <c r="F64" s="1"/>
  <c r="K15"/>
  <c r="I15"/>
  <c r="J15" s="1"/>
  <c r="H13"/>
  <c r="K16"/>
  <c r="I16"/>
  <c r="J16" s="1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G31"/>
  <c r="H32"/>
  <c r="K40"/>
  <c r="I40"/>
  <c r="H44"/>
  <c r="K45"/>
  <c r="K44" s="1"/>
  <c r="G49"/>
  <c r="H50"/>
  <c r="E64"/>
  <c r="M46"/>
  <c r="I25"/>
  <c r="I59"/>
  <c r="I61"/>
  <c r="I10"/>
  <c r="J10" s="1"/>
  <c r="M10" s="1"/>
  <c r="I11"/>
  <c r="J11" s="1"/>
  <c r="M11" s="1"/>
  <c r="I14"/>
  <c r="I29"/>
  <c r="I30"/>
  <c r="J30" s="1"/>
  <c r="M30" s="1"/>
  <c r="I34"/>
  <c r="J35"/>
  <c r="M35" s="1"/>
  <c r="G41"/>
  <c r="I42"/>
  <c r="J42" s="1"/>
  <c r="M42" s="1"/>
  <c r="I48"/>
  <c r="D67"/>
  <c r="D77" s="1"/>
  <c r="M70" s="1"/>
  <c r="K9" i="1"/>
  <c r="K8" s="1"/>
  <c r="I9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J29"/>
  <c r="I28"/>
  <c r="G31"/>
  <c r="H32"/>
  <c r="H44"/>
  <c r="K45"/>
  <c r="K44" s="1"/>
  <c r="K48"/>
  <c r="K47" s="1"/>
  <c r="I48"/>
  <c r="H47"/>
  <c r="G49"/>
  <c r="H50"/>
  <c r="H55"/>
  <c r="G54"/>
  <c r="G57"/>
  <c r="G56" s="1"/>
  <c r="H57" s="1"/>
  <c r="E56"/>
  <c r="H12"/>
  <c r="I12" s="1"/>
  <c r="J12" s="1"/>
  <c r="M12" s="1"/>
  <c r="G8"/>
  <c r="K14"/>
  <c r="I14"/>
  <c r="H13"/>
  <c r="K15"/>
  <c r="I15"/>
  <c r="J15" s="1"/>
  <c r="H20"/>
  <c r="E26"/>
  <c r="E64" s="1"/>
  <c r="G27"/>
  <c r="I38"/>
  <c r="H37"/>
  <c r="H40"/>
  <c r="K43"/>
  <c r="I43"/>
  <c r="J43" s="1"/>
  <c r="M43" s="1"/>
  <c r="M45"/>
  <c r="M44" s="1"/>
  <c r="J44"/>
  <c r="I25"/>
  <c r="I53"/>
  <c r="I59"/>
  <c r="I61"/>
  <c r="I16"/>
  <c r="J16" s="1"/>
  <c r="M16" s="1"/>
  <c r="I34"/>
  <c r="J35"/>
  <c r="M35" s="1"/>
  <c r="G41"/>
  <c r="H41" s="1"/>
  <c r="K41" s="1"/>
  <c r="M41" s="1"/>
  <c r="I42"/>
  <c r="J42" s="1"/>
  <c r="M42" s="1"/>
  <c r="D67"/>
  <c r="D77" s="1"/>
  <c r="M70" s="1"/>
  <c r="H9" i="38"/>
  <c r="F8"/>
  <c r="F64" s="1"/>
  <c r="H20"/>
  <c r="E26"/>
  <c r="G27"/>
  <c r="G37"/>
  <c r="H38"/>
  <c r="K43"/>
  <c r="I43"/>
  <c r="J43" s="1"/>
  <c r="J44"/>
  <c r="J53"/>
  <c r="I52"/>
  <c r="H55"/>
  <c r="G54"/>
  <c r="G57"/>
  <c r="G56" s="1"/>
  <c r="H57" s="1"/>
  <c r="E56"/>
  <c r="H12"/>
  <c r="I12" s="1"/>
  <c r="J12" s="1"/>
  <c r="M12" s="1"/>
  <c r="G8"/>
  <c r="K14"/>
  <c r="I14"/>
  <c r="H13"/>
  <c r="K15"/>
  <c r="I15"/>
  <c r="J15" s="1"/>
  <c r="M15" s="1"/>
  <c r="K16"/>
  <c r="I16"/>
  <c r="J16" s="1"/>
  <c r="M16" s="1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E64" s="1"/>
  <c r="J29"/>
  <c r="I28"/>
  <c r="I32"/>
  <c r="H31"/>
  <c r="J34"/>
  <c r="K40"/>
  <c r="I40"/>
  <c r="H44"/>
  <c r="K45"/>
  <c r="K44" s="1"/>
  <c r="G49"/>
  <c r="H50"/>
  <c r="M30"/>
  <c r="M46"/>
  <c r="I25"/>
  <c r="I59"/>
  <c r="I61"/>
  <c r="I10"/>
  <c r="J10" s="1"/>
  <c r="M10" s="1"/>
  <c r="I11"/>
  <c r="J11" s="1"/>
  <c r="M11" s="1"/>
  <c r="I35"/>
  <c r="J35" s="1"/>
  <c r="M35" s="1"/>
  <c r="G41"/>
  <c r="I42"/>
  <c r="J42" s="1"/>
  <c r="M42" s="1"/>
  <c r="I48"/>
  <c r="D67"/>
  <c r="D77" s="1"/>
  <c r="M70" s="1"/>
  <c r="H12" i="39"/>
  <c r="I12" s="1"/>
  <c r="J12" s="1"/>
  <c r="M12" s="1"/>
  <c r="G8"/>
  <c r="K14"/>
  <c r="I14"/>
  <c r="H13"/>
  <c r="K18"/>
  <c r="I18"/>
  <c r="J18" s="1"/>
  <c r="M18" s="1"/>
  <c r="K19"/>
  <c r="I19"/>
  <c r="J19" s="1"/>
  <c r="M19" s="1"/>
  <c r="G23"/>
  <c r="G22" s="1"/>
  <c r="H23" s="1"/>
  <c r="E22"/>
  <c r="J29"/>
  <c r="I28"/>
  <c r="G31"/>
  <c r="H32"/>
  <c r="J34"/>
  <c r="I33"/>
  <c r="H44"/>
  <c r="K45"/>
  <c r="K44" s="1"/>
  <c r="G49"/>
  <c r="H50"/>
  <c r="M46"/>
  <c r="K9"/>
  <c r="K8" s="1"/>
  <c r="I9"/>
  <c r="H8"/>
  <c r="K16"/>
  <c r="I16"/>
  <c r="J16" s="1"/>
  <c r="H20"/>
  <c r="I21"/>
  <c r="E26"/>
  <c r="G27"/>
  <c r="I38"/>
  <c r="H37"/>
  <c r="H40"/>
  <c r="K43"/>
  <c r="I43"/>
  <c r="J43" s="1"/>
  <c r="M45"/>
  <c r="M44" s="1"/>
  <c r="J44"/>
  <c r="J53"/>
  <c r="I52"/>
  <c r="H54"/>
  <c r="K55"/>
  <c r="K54" s="1"/>
  <c r="I55"/>
  <c r="G57"/>
  <c r="G56" s="1"/>
  <c r="H57" s="1"/>
  <c r="E56"/>
  <c r="E64"/>
  <c r="I15"/>
  <c r="J15" s="1"/>
  <c r="M15" s="1"/>
  <c r="I17"/>
  <c r="J17" s="1"/>
  <c r="M17" s="1"/>
  <c r="I25"/>
  <c r="I59"/>
  <c r="I61"/>
  <c r="I10"/>
  <c r="J10" s="1"/>
  <c r="M10" s="1"/>
  <c r="I11"/>
  <c r="J11" s="1"/>
  <c r="M11" s="1"/>
  <c r="G41"/>
  <c r="H41" s="1"/>
  <c r="K41" s="1"/>
  <c r="M41" s="1"/>
  <c r="I42"/>
  <c r="J42" s="1"/>
  <c r="M42" s="1"/>
  <c r="I48"/>
  <c r="D67"/>
  <c r="D77" s="1"/>
  <c r="M70" s="1"/>
  <c r="H12" i="40"/>
  <c r="I12" s="1"/>
  <c r="J12" s="1"/>
  <c r="M12" s="1"/>
  <c r="G8"/>
  <c r="K17"/>
  <c r="I17"/>
  <c r="J17" s="1"/>
  <c r="H20"/>
  <c r="I21"/>
  <c r="E26"/>
  <c r="G27"/>
  <c r="G37"/>
  <c r="H38"/>
  <c r="K43"/>
  <c r="I43"/>
  <c r="J43" s="1"/>
  <c r="J44"/>
  <c r="J53"/>
  <c r="I52"/>
  <c r="H54"/>
  <c r="K55"/>
  <c r="K54" s="1"/>
  <c r="I55"/>
  <c r="G57"/>
  <c r="G56" s="1"/>
  <c r="H57" s="1"/>
  <c r="E56"/>
  <c r="I59"/>
  <c r="E58"/>
  <c r="H9"/>
  <c r="F8"/>
  <c r="F64" s="1"/>
  <c r="K15"/>
  <c r="I15"/>
  <c r="J15" s="1"/>
  <c r="M15" s="1"/>
  <c r="H13"/>
  <c r="K19"/>
  <c r="I19"/>
  <c r="J19" s="1"/>
  <c r="M19" s="1"/>
  <c r="G23"/>
  <c r="G22" s="1"/>
  <c r="H23" s="1"/>
  <c r="E22"/>
  <c r="I25"/>
  <c r="E24"/>
  <c r="I32"/>
  <c r="H31"/>
  <c r="K40"/>
  <c r="I40"/>
  <c r="H44"/>
  <c r="K45"/>
  <c r="K44" s="1"/>
  <c r="G49"/>
  <c r="H50"/>
  <c r="E64"/>
  <c r="K13"/>
  <c r="M46"/>
  <c r="I61"/>
  <c r="I10"/>
  <c r="J10" s="1"/>
  <c r="M10" s="1"/>
  <c r="I11"/>
  <c r="J11" s="1"/>
  <c r="M11" s="1"/>
  <c r="I14"/>
  <c r="I16"/>
  <c r="J16" s="1"/>
  <c r="M16" s="1"/>
  <c r="I18"/>
  <c r="J18" s="1"/>
  <c r="M18" s="1"/>
  <c r="I29"/>
  <c r="I30"/>
  <c r="J30" s="1"/>
  <c r="M30" s="1"/>
  <c r="I34"/>
  <c r="I35"/>
  <c r="J35" s="1"/>
  <c r="M35" s="1"/>
  <c r="G41"/>
  <c r="I42"/>
  <c r="J42" s="1"/>
  <c r="M42" s="1"/>
  <c r="I48"/>
  <c r="D67"/>
  <c r="D77" s="1"/>
  <c r="M70" s="1"/>
  <c r="K17" i="41"/>
  <c r="I17"/>
  <c r="J17" s="1"/>
  <c r="M17" s="1"/>
  <c r="H20"/>
  <c r="E26"/>
  <c r="G27"/>
  <c r="G37"/>
  <c r="H38"/>
  <c r="K43"/>
  <c r="I43"/>
  <c r="J43" s="1"/>
  <c r="M43" s="1"/>
  <c r="J44"/>
  <c r="K9"/>
  <c r="K8" s="1"/>
  <c r="I9"/>
  <c r="H8"/>
  <c r="H12"/>
  <c r="I12" s="1"/>
  <c r="J12" s="1"/>
  <c r="M12" s="1"/>
  <c r="G8"/>
  <c r="K14"/>
  <c r="I14"/>
  <c r="H13"/>
  <c r="K15"/>
  <c r="I15"/>
  <c r="J15" s="1"/>
  <c r="K19"/>
  <c r="I19"/>
  <c r="J19" s="1"/>
  <c r="G23"/>
  <c r="G22" s="1"/>
  <c r="H23" s="1"/>
  <c r="E22"/>
  <c r="J29"/>
  <c r="G31"/>
  <c r="H32"/>
  <c r="K40"/>
  <c r="I40"/>
  <c r="H44"/>
  <c r="K45"/>
  <c r="K44" s="1"/>
  <c r="G49"/>
  <c r="H50"/>
  <c r="H55"/>
  <c r="G54"/>
  <c r="G57"/>
  <c r="G56" s="1"/>
  <c r="H57" s="1"/>
  <c r="E56"/>
  <c r="I59"/>
  <c r="E58"/>
  <c r="M46"/>
  <c r="I25"/>
  <c r="I53"/>
  <c r="I61"/>
  <c r="I16"/>
  <c r="J16" s="1"/>
  <c r="M16" s="1"/>
  <c r="I18"/>
  <c r="J18" s="1"/>
  <c r="M18" s="1"/>
  <c r="I30"/>
  <c r="J30" s="1"/>
  <c r="M30" s="1"/>
  <c r="I34"/>
  <c r="I35"/>
  <c r="J35" s="1"/>
  <c r="M35" s="1"/>
  <c r="G41"/>
  <c r="I42"/>
  <c r="J42" s="1"/>
  <c r="M42" s="1"/>
  <c r="I48"/>
  <c r="D67"/>
  <c r="D77" s="1"/>
  <c r="M70" s="1"/>
  <c r="H12" i="42"/>
  <c r="I12" s="1"/>
  <c r="J12" s="1"/>
  <c r="M12" s="1"/>
  <c r="G8"/>
  <c r="K14"/>
  <c r="I14"/>
  <c r="H13"/>
  <c r="K15"/>
  <c r="I15"/>
  <c r="J15" s="1"/>
  <c r="M15" s="1"/>
  <c r="K16"/>
  <c r="I16"/>
  <c r="J16" s="1"/>
  <c r="M16" s="1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J29"/>
  <c r="I28"/>
  <c r="I32"/>
  <c r="H31"/>
  <c r="J34"/>
  <c r="H44"/>
  <c r="K45"/>
  <c r="K44" s="1"/>
  <c r="J53"/>
  <c r="I52"/>
  <c r="H54"/>
  <c r="K55"/>
  <c r="K54" s="1"/>
  <c r="I55"/>
  <c r="G57"/>
  <c r="G56" s="1"/>
  <c r="H57" s="1"/>
  <c r="E56"/>
  <c r="I59"/>
  <c r="E58"/>
  <c r="M11"/>
  <c r="M30"/>
  <c r="K9"/>
  <c r="K8" s="1"/>
  <c r="I9"/>
  <c r="H8"/>
  <c r="H20"/>
  <c r="E26"/>
  <c r="G27"/>
  <c r="I38"/>
  <c r="H37"/>
  <c r="H40"/>
  <c r="K43"/>
  <c r="I43"/>
  <c r="J43" s="1"/>
  <c r="M45"/>
  <c r="M44" s="1"/>
  <c r="J44"/>
  <c r="G49"/>
  <c r="H50"/>
  <c r="J61"/>
  <c r="I60"/>
  <c r="E64"/>
  <c r="I25"/>
  <c r="I35"/>
  <c r="J35" s="1"/>
  <c r="M35" s="1"/>
  <c r="G41"/>
  <c r="H41" s="1"/>
  <c r="K41" s="1"/>
  <c r="M41" s="1"/>
  <c r="I42"/>
  <c r="J42" s="1"/>
  <c r="M42" s="1"/>
  <c r="I48"/>
  <c r="D67"/>
  <c r="D77" s="1"/>
  <c r="M70" s="1"/>
  <c r="K9" i="43"/>
  <c r="K8" s="1"/>
  <c r="I9"/>
  <c r="H20"/>
  <c r="E26"/>
  <c r="G27"/>
  <c r="G31"/>
  <c r="H32"/>
  <c r="H44"/>
  <c r="K45"/>
  <c r="K44" s="1"/>
  <c r="G49"/>
  <c r="H50"/>
  <c r="J61"/>
  <c r="I60"/>
  <c r="H12"/>
  <c r="I12" s="1"/>
  <c r="J12" s="1"/>
  <c r="M12" s="1"/>
  <c r="G8"/>
  <c r="K14"/>
  <c r="I14"/>
  <c r="H13"/>
  <c r="K15"/>
  <c r="I15"/>
  <c r="J15" s="1"/>
  <c r="K16"/>
  <c r="I16"/>
  <c r="J16" s="1"/>
  <c r="K17"/>
  <c r="I17"/>
  <c r="J17" s="1"/>
  <c r="K18"/>
  <c r="I18"/>
  <c r="J18" s="1"/>
  <c r="K19"/>
  <c r="I19"/>
  <c r="J19" s="1"/>
  <c r="G23"/>
  <c r="G22" s="1"/>
  <c r="H23" s="1"/>
  <c r="E22"/>
  <c r="J29"/>
  <c r="I28"/>
  <c r="G37"/>
  <c r="H38"/>
  <c r="H40"/>
  <c r="K43"/>
  <c r="I43"/>
  <c r="J43" s="1"/>
  <c r="M45"/>
  <c r="M44" s="1"/>
  <c r="J44"/>
  <c r="J53"/>
  <c r="I52"/>
  <c r="H54"/>
  <c r="K55"/>
  <c r="K54" s="1"/>
  <c r="I55"/>
  <c r="G57"/>
  <c r="G56" s="1"/>
  <c r="H57" s="1"/>
  <c r="E56"/>
  <c r="I59"/>
  <c r="E58"/>
  <c r="I25"/>
  <c r="I34"/>
  <c r="I35"/>
  <c r="J35" s="1"/>
  <c r="M35" s="1"/>
  <c r="G41"/>
  <c r="H41" s="1"/>
  <c r="K41" s="1"/>
  <c r="M41" s="1"/>
  <c r="I42"/>
  <c r="J42" s="1"/>
  <c r="M42" s="1"/>
  <c r="I48"/>
  <c r="D67"/>
  <c r="D77" s="1"/>
  <c r="M70" s="1"/>
  <c r="H12" i="44"/>
  <c r="I12" s="1"/>
  <c r="J12" s="1"/>
  <c r="M12" s="1"/>
  <c r="G8"/>
  <c r="K14"/>
  <c r="I14"/>
  <c r="H13"/>
  <c r="K18"/>
  <c r="I18"/>
  <c r="J18" s="1"/>
  <c r="M18" s="1"/>
  <c r="H20"/>
  <c r="E26"/>
  <c r="G27"/>
  <c r="J34"/>
  <c r="I33"/>
  <c r="K43"/>
  <c r="I43"/>
  <c r="J43" s="1"/>
  <c r="M43" s="1"/>
  <c r="J44"/>
  <c r="H55"/>
  <c r="G54"/>
  <c r="G57"/>
  <c r="G56" s="1"/>
  <c r="H57" s="1"/>
  <c r="E56"/>
  <c r="I59"/>
  <c r="E58"/>
  <c r="M41"/>
  <c r="K9"/>
  <c r="K8" s="1"/>
  <c r="I9"/>
  <c r="H8"/>
  <c r="K16"/>
  <c r="I16"/>
  <c r="J16" s="1"/>
  <c r="G23"/>
  <c r="G22" s="1"/>
  <c r="H23" s="1"/>
  <c r="E22"/>
  <c r="E64" s="1"/>
  <c r="J29"/>
  <c r="I28"/>
  <c r="I32"/>
  <c r="H31"/>
  <c r="I38"/>
  <c r="H37"/>
  <c r="H40"/>
  <c r="G39"/>
  <c r="H44"/>
  <c r="K45"/>
  <c r="K44" s="1"/>
  <c r="G49"/>
  <c r="H50"/>
  <c r="J53"/>
  <c r="I52"/>
  <c r="M46"/>
  <c r="F8"/>
  <c r="F64" s="1"/>
  <c r="I15"/>
  <c r="J15" s="1"/>
  <c r="M15" s="1"/>
  <c r="I17"/>
  <c r="J17" s="1"/>
  <c r="M17" s="1"/>
  <c r="I19"/>
  <c r="J19" s="1"/>
  <c r="M19" s="1"/>
  <c r="I25"/>
  <c r="I61"/>
  <c r="I42"/>
  <c r="J42" s="1"/>
  <c r="M42" s="1"/>
  <c r="I48"/>
  <c r="D67"/>
  <c r="D77" s="1"/>
  <c r="M70" s="1"/>
  <c r="H12" i="45"/>
  <c r="I12" s="1"/>
  <c r="J12" s="1"/>
  <c r="M12" s="1"/>
  <c r="G8"/>
  <c r="K14"/>
  <c r="I14"/>
  <c r="H13"/>
  <c r="K15"/>
  <c r="I15"/>
  <c r="J15" s="1"/>
  <c r="M15" s="1"/>
  <c r="K16"/>
  <c r="I16"/>
  <c r="J16" s="1"/>
  <c r="M16" s="1"/>
  <c r="H20"/>
  <c r="E26"/>
  <c r="G27"/>
  <c r="G37"/>
  <c r="H38"/>
  <c r="K43"/>
  <c r="I43"/>
  <c r="J43" s="1"/>
  <c r="M43" s="1"/>
  <c r="J44"/>
  <c r="J53"/>
  <c r="I52"/>
  <c r="H54"/>
  <c r="K55"/>
  <c r="K54" s="1"/>
  <c r="I55"/>
  <c r="G57"/>
  <c r="G56" s="1"/>
  <c r="H57" s="1"/>
  <c r="E56"/>
  <c r="I59"/>
  <c r="E58"/>
  <c r="K9"/>
  <c r="K8" s="1"/>
  <c r="I9"/>
  <c r="H8"/>
  <c r="K18"/>
  <c r="I18"/>
  <c r="J18" s="1"/>
  <c r="K19"/>
  <c r="I19"/>
  <c r="J19" s="1"/>
  <c r="G23"/>
  <c r="G22" s="1"/>
  <c r="H23" s="1"/>
  <c r="E22"/>
  <c r="J29"/>
  <c r="I32"/>
  <c r="H31"/>
  <c r="K40"/>
  <c r="I40"/>
  <c r="H44"/>
  <c r="K45"/>
  <c r="K44" s="1"/>
  <c r="G49"/>
  <c r="H50"/>
  <c r="J61"/>
  <c r="I60"/>
  <c r="E64"/>
  <c r="M46"/>
  <c r="I17"/>
  <c r="J17" s="1"/>
  <c r="M17" s="1"/>
  <c r="I25"/>
  <c r="I30"/>
  <c r="J30" s="1"/>
  <c r="M30" s="1"/>
  <c r="I34"/>
  <c r="I35"/>
  <c r="J35" s="1"/>
  <c r="M35" s="1"/>
  <c r="G41"/>
  <c r="I42"/>
  <c r="J42" s="1"/>
  <c r="M42" s="1"/>
  <c r="I48"/>
  <c r="D67"/>
  <c r="D77" s="1"/>
  <c r="M70" s="1"/>
  <c r="H9" i="46"/>
  <c r="F8"/>
  <c r="F64" s="1"/>
  <c r="K17"/>
  <c r="I17"/>
  <c r="J17" s="1"/>
  <c r="M17" s="1"/>
  <c r="H20"/>
  <c r="E26"/>
  <c r="G27"/>
  <c r="G37"/>
  <c r="H38"/>
  <c r="K43"/>
  <c r="I43"/>
  <c r="J43" s="1"/>
  <c r="M43" s="1"/>
  <c r="J44"/>
  <c r="H55"/>
  <c r="G54"/>
  <c r="G57"/>
  <c r="G56" s="1"/>
  <c r="H57" s="1"/>
  <c r="E56"/>
  <c r="K15"/>
  <c r="I15"/>
  <c r="J15" s="1"/>
  <c r="M15" s="1"/>
  <c r="H13"/>
  <c r="K19"/>
  <c r="I19"/>
  <c r="J19" s="1"/>
  <c r="G23"/>
  <c r="G22" s="1"/>
  <c r="H23" s="1"/>
  <c r="E22"/>
  <c r="G31"/>
  <c r="H32"/>
  <c r="K40"/>
  <c r="I40"/>
  <c r="H44"/>
  <c r="K45"/>
  <c r="K44" s="1"/>
  <c r="G49"/>
  <c r="H50"/>
  <c r="J53"/>
  <c r="I52"/>
  <c r="E64"/>
  <c r="K13"/>
  <c r="M46"/>
  <c r="I25"/>
  <c r="I59"/>
  <c r="I61"/>
  <c r="I10"/>
  <c r="J10" s="1"/>
  <c r="M10" s="1"/>
  <c r="I11"/>
  <c r="J11" s="1"/>
  <c r="M11" s="1"/>
  <c r="I14"/>
  <c r="I16"/>
  <c r="J16" s="1"/>
  <c r="M16" s="1"/>
  <c r="I18"/>
  <c r="J18" s="1"/>
  <c r="M18" s="1"/>
  <c r="I29"/>
  <c r="I30"/>
  <c r="J30" s="1"/>
  <c r="M30" s="1"/>
  <c r="I34"/>
  <c r="I35"/>
  <c r="J35" s="1"/>
  <c r="M35" s="1"/>
  <c r="G41"/>
  <c r="I42"/>
  <c r="J42" s="1"/>
  <c r="M42" s="1"/>
  <c r="I48"/>
  <c r="H12" i="47"/>
  <c r="I12" s="1"/>
  <c r="J12" s="1"/>
  <c r="M12" s="1"/>
  <c r="G8"/>
  <c r="K16"/>
  <c r="I16"/>
  <c r="J16" s="1"/>
  <c r="M16" s="1"/>
  <c r="J29"/>
  <c r="I28"/>
  <c r="I32"/>
  <c r="H31"/>
  <c r="I38"/>
  <c r="H37"/>
  <c r="H40"/>
  <c r="G39"/>
  <c r="J44"/>
  <c r="H51"/>
  <c r="I51" s="1"/>
  <c r="J51" s="1"/>
  <c r="M51" s="1"/>
  <c r="G49"/>
  <c r="K9"/>
  <c r="K8" s="1"/>
  <c r="I9"/>
  <c r="H8"/>
  <c r="K14"/>
  <c r="K13" s="1"/>
  <c r="I14"/>
  <c r="H13"/>
  <c r="K18"/>
  <c r="I18"/>
  <c r="J18" s="1"/>
  <c r="M18" s="1"/>
  <c r="H20"/>
  <c r="I21"/>
  <c r="H27"/>
  <c r="G26"/>
  <c r="J34"/>
  <c r="I33"/>
  <c r="K43"/>
  <c r="I43"/>
  <c r="J43" s="1"/>
  <c r="M43" s="1"/>
  <c r="K46"/>
  <c r="K44" s="1"/>
  <c r="H44"/>
  <c r="K48"/>
  <c r="K47" s="1"/>
  <c r="I48"/>
  <c r="H47"/>
  <c r="K50"/>
  <c r="K49" s="1"/>
  <c r="I50"/>
  <c r="H49"/>
  <c r="H55"/>
  <c r="G54"/>
  <c r="G57"/>
  <c r="G56" s="1"/>
  <c r="H57" s="1"/>
  <c r="E56"/>
  <c r="M41"/>
  <c r="M45"/>
  <c r="F8"/>
  <c r="F13"/>
  <c r="I15"/>
  <c r="J15" s="1"/>
  <c r="M15" s="1"/>
  <c r="I17"/>
  <c r="J17" s="1"/>
  <c r="M17" s="1"/>
  <c r="I19"/>
  <c r="J19" s="1"/>
  <c r="M19" s="1"/>
  <c r="E23"/>
  <c r="H24"/>
  <c r="I25"/>
  <c r="E28"/>
  <c r="E33"/>
  <c r="G44"/>
  <c r="I44"/>
  <c r="E49"/>
  <c r="H52"/>
  <c r="I53"/>
  <c r="E54"/>
  <c r="H58"/>
  <c r="I59"/>
  <c r="I61"/>
  <c r="D68"/>
  <c r="D77" s="1"/>
  <c r="M70" s="1"/>
  <c r="H20" i="48"/>
  <c r="E26"/>
  <c r="G27"/>
  <c r="I32"/>
  <c r="H31"/>
  <c r="J34"/>
  <c r="I33"/>
  <c r="I38"/>
  <c r="H37"/>
  <c r="H40"/>
  <c r="K43"/>
  <c r="I43"/>
  <c r="J43" s="1"/>
  <c r="J44"/>
  <c r="H54"/>
  <c r="K55"/>
  <c r="K54" s="1"/>
  <c r="I55"/>
  <c r="G57"/>
  <c r="G56" s="1"/>
  <c r="H57" s="1"/>
  <c r="E56"/>
  <c r="I59"/>
  <c r="E58"/>
  <c r="M10"/>
  <c r="K9"/>
  <c r="K8" s="1"/>
  <c r="I9"/>
  <c r="H8"/>
  <c r="H12"/>
  <c r="I12" s="1"/>
  <c r="J12" s="1"/>
  <c r="M12" s="1"/>
  <c r="G8"/>
  <c r="K14"/>
  <c r="I14"/>
  <c r="H13"/>
  <c r="K15"/>
  <c r="I15"/>
  <c r="J15" s="1"/>
  <c r="K16"/>
  <c r="I16"/>
  <c r="J16" s="1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J29"/>
  <c r="I28"/>
  <c r="H44"/>
  <c r="K45"/>
  <c r="K44" s="1"/>
  <c r="G49"/>
  <c r="H50"/>
  <c r="E64"/>
  <c r="M46"/>
  <c r="I25"/>
  <c r="I53"/>
  <c r="I61"/>
  <c r="G41"/>
  <c r="H41" s="1"/>
  <c r="K41" s="1"/>
  <c r="M41" s="1"/>
  <c r="I42"/>
  <c r="J42" s="1"/>
  <c r="M42" s="1"/>
  <c r="I48"/>
  <c r="D67"/>
  <c r="D77" s="1"/>
  <c r="M70" s="1"/>
  <c r="K9" i="49"/>
  <c r="K8" s="1"/>
  <c r="I9"/>
  <c r="K16"/>
  <c r="I16"/>
  <c r="J16" s="1"/>
  <c r="K17"/>
  <c r="I17"/>
  <c r="J17" s="1"/>
  <c r="K18"/>
  <c r="I18"/>
  <c r="J18" s="1"/>
  <c r="K19"/>
  <c r="I19"/>
  <c r="J19" s="1"/>
  <c r="G23"/>
  <c r="G22" s="1"/>
  <c r="H23" s="1"/>
  <c r="E22"/>
  <c r="G31"/>
  <c r="H32"/>
  <c r="J34"/>
  <c r="I33"/>
  <c r="H44"/>
  <c r="K45"/>
  <c r="K44" s="1"/>
  <c r="H12"/>
  <c r="I12" s="1"/>
  <c r="J12" s="1"/>
  <c r="M12" s="1"/>
  <c r="G8"/>
  <c r="K14"/>
  <c r="K13" s="1"/>
  <c r="I14"/>
  <c r="H13"/>
  <c r="H20"/>
  <c r="E26"/>
  <c r="G27"/>
  <c r="G37"/>
  <c r="H38"/>
  <c r="H40"/>
  <c r="K43"/>
  <c r="I43"/>
  <c r="J43" s="1"/>
  <c r="M45"/>
  <c r="M44" s="1"/>
  <c r="J44"/>
  <c r="K48"/>
  <c r="K47" s="1"/>
  <c r="I48"/>
  <c r="H47"/>
  <c r="G49"/>
  <c r="H50"/>
  <c r="J53"/>
  <c r="I52"/>
  <c r="H54"/>
  <c r="K55"/>
  <c r="K54" s="1"/>
  <c r="I55"/>
  <c r="G57"/>
  <c r="G56" s="1"/>
  <c r="H57" s="1"/>
  <c r="E56"/>
  <c r="I59"/>
  <c r="E58"/>
  <c r="J61"/>
  <c r="I60"/>
  <c r="I15"/>
  <c r="J15" s="1"/>
  <c r="M15" s="1"/>
  <c r="I25"/>
  <c r="I29"/>
  <c r="I30"/>
  <c r="J30" s="1"/>
  <c r="M30" s="1"/>
  <c r="G41"/>
  <c r="H41" s="1"/>
  <c r="K41" s="1"/>
  <c r="M41" s="1"/>
  <c r="I42"/>
  <c r="J42" s="1"/>
  <c r="M42" s="1"/>
  <c r="D67"/>
  <c r="D77" s="1"/>
  <c r="M70" s="1"/>
  <c r="H20" i="50"/>
  <c r="E26"/>
  <c r="G27"/>
  <c r="I38"/>
  <c r="H37"/>
  <c r="H40"/>
  <c r="K43"/>
  <c r="I43"/>
  <c r="J43" s="1"/>
  <c r="M43" s="1"/>
  <c r="K46"/>
  <c r="H44"/>
  <c r="K48"/>
  <c r="K47" s="1"/>
  <c r="I48"/>
  <c r="H47"/>
  <c r="H51"/>
  <c r="I51" s="1"/>
  <c r="J51" s="1"/>
  <c r="M51" s="1"/>
  <c r="G49"/>
  <c r="K44"/>
  <c r="M45"/>
  <c r="K9"/>
  <c r="K8" s="1"/>
  <c r="I9"/>
  <c r="H8"/>
  <c r="H12"/>
  <c r="I12" s="1"/>
  <c r="J12" s="1"/>
  <c r="M12" s="1"/>
  <c r="G8"/>
  <c r="K14"/>
  <c r="I14"/>
  <c r="H13"/>
  <c r="K15"/>
  <c r="I15"/>
  <c r="J15" s="1"/>
  <c r="K16"/>
  <c r="I16"/>
  <c r="J16" s="1"/>
  <c r="K17"/>
  <c r="I17"/>
  <c r="J17" s="1"/>
  <c r="K18"/>
  <c r="I18"/>
  <c r="J18" s="1"/>
  <c r="K19"/>
  <c r="I19"/>
  <c r="J19" s="1"/>
  <c r="G23"/>
  <c r="G22" s="1"/>
  <c r="H23" s="1"/>
  <c r="E22"/>
  <c r="J29"/>
  <c r="I28"/>
  <c r="I32"/>
  <c r="H31"/>
  <c r="J44"/>
  <c r="M46"/>
  <c r="K50"/>
  <c r="K49" s="1"/>
  <c r="I50"/>
  <c r="H49"/>
  <c r="H55"/>
  <c r="G54"/>
  <c r="G57"/>
  <c r="G56" s="1"/>
  <c r="H57" s="1"/>
  <c r="E56"/>
  <c r="E64" s="1"/>
  <c r="I25"/>
  <c r="I53"/>
  <c r="I59"/>
  <c r="I61"/>
  <c r="I34"/>
  <c r="G41"/>
  <c r="H41" s="1"/>
  <c r="K41" s="1"/>
  <c r="M41" s="1"/>
  <c r="I42"/>
  <c r="J42" s="1"/>
  <c r="M42" s="1"/>
  <c r="D67"/>
  <c r="D77" s="1"/>
  <c r="M70" s="1"/>
  <c r="H9" i="51"/>
  <c r="F8"/>
  <c r="F64" s="1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G31"/>
  <c r="H32"/>
  <c r="H44"/>
  <c r="K45"/>
  <c r="K44" s="1"/>
  <c r="G49"/>
  <c r="H50"/>
  <c r="J53"/>
  <c r="I52"/>
  <c r="H54"/>
  <c r="K55"/>
  <c r="K54" s="1"/>
  <c r="I55"/>
  <c r="G57"/>
  <c r="G56" s="1"/>
  <c r="H57" s="1"/>
  <c r="E56"/>
  <c r="I59"/>
  <c r="E58"/>
  <c r="M46"/>
  <c r="K15"/>
  <c r="I15"/>
  <c r="J15" s="1"/>
  <c r="M15" s="1"/>
  <c r="H13"/>
  <c r="H20"/>
  <c r="E26"/>
  <c r="G27"/>
  <c r="G37"/>
  <c r="H38"/>
  <c r="H40"/>
  <c r="K43"/>
  <c r="I43"/>
  <c r="J43" s="1"/>
  <c r="M45"/>
  <c r="M44" s="1"/>
  <c r="J44"/>
  <c r="E64"/>
  <c r="K13"/>
  <c r="I25"/>
  <c r="I61"/>
  <c r="I10"/>
  <c r="J10" s="1"/>
  <c r="M10" s="1"/>
  <c r="I11"/>
  <c r="J11" s="1"/>
  <c r="M11" s="1"/>
  <c r="I14"/>
  <c r="I16"/>
  <c r="J16" s="1"/>
  <c r="M16" s="1"/>
  <c r="I29"/>
  <c r="I30"/>
  <c r="J30" s="1"/>
  <c r="M30" s="1"/>
  <c r="I34"/>
  <c r="I35"/>
  <c r="J35" s="1"/>
  <c r="M35" s="1"/>
  <c r="G41"/>
  <c r="H41" s="1"/>
  <c r="K41" s="1"/>
  <c r="M41" s="1"/>
  <c r="I42"/>
  <c r="J42" s="1"/>
  <c r="M42" s="1"/>
  <c r="I48"/>
  <c r="D67"/>
  <c r="D77" s="1"/>
  <c r="M70" s="1"/>
  <c r="K9" i="52"/>
  <c r="K8" s="1"/>
  <c r="I9"/>
  <c r="H20"/>
  <c r="E26"/>
  <c r="G27"/>
  <c r="G37"/>
  <c r="H38"/>
  <c r="H44"/>
  <c r="K45"/>
  <c r="K44" s="1"/>
  <c r="G49"/>
  <c r="H50"/>
  <c r="J53"/>
  <c r="I52"/>
  <c r="J61"/>
  <c r="I60"/>
  <c r="M46"/>
  <c r="H12"/>
  <c r="I12" s="1"/>
  <c r="J12" s="1"/>
  <c r="M12" s="1"/>
  <c r="G8"/>
  <c r="K14"/>
  <c r="I14"/>
  <c r="H13"/>
  <c r="K15"/>
  <c r="I15"/>
  <c r="J15" s="1"/>
  <c r="M15" s="1"/>
  <c r="K16"/>
  <c r="I16"/>
  <c r="J16" s="1"/>
  <c r="M16" s="1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I32"/>
  <c r="H31"/>
  <c r="K40"/>
  <c r="I40"/>
  <c r="K43"/>
  <c r="I43"/>
  <c r="J43" s="1"/>
  <c r="M45"/>
  <c r="M44" s="1"/>
  <c r="J44"/>
  <c r="H54"/>
  <c r="K55"/>
  <c r="K54" s="1"/>
  <c r="I55"/>
  <c r="G57"/>
  <c r="G56" s="1"/>
  <c r="H57" s="1"/>
  <c r="E56"/>
  <c r="I59"/>
  <c r="E58"/>
  <c r="I25"/>
  <c r="I29"/>
  <c r="I30"/>
  <c r="J30" s="1"/>
  <c r="M30" s="1"/>
  <c r="I34"/>
  <c r="I35"/>
  <c r="J35" s="1"/>
  <c r="M35" s="1"/>
  <c r="G41"/>
  <c r="I42"/>
  <c r="J42" s="1"/>
  <c r="M42" s="1"/>
  <c r="I48"/>
  <c r="D67"/>
  <c r="D77" s="1"/>
  <c r="M70" s="1"/>
  <c r="K9" i="53"/>
  <c r="K8" s="1"/>
  <c r="I9"/>
  <c r="K18"/>
  <c r="I18"/>
  <c r="J18" s="1"/>
  <c r="H20"/>
  <c r="I21"/>
  <c r="E26"/>
  <c r="G27"/>
  <c r="G37"/>
  <c r="H38"/>
  <c r="H40"/>
  <c r="K43"/>
  <c r="I43"/>
  <c r="J43" s="1"/>
  <c r="J44"/>
  <c r="H12"/>
  <c r="I12" s="1"/>
  <c r="J12" s="1"/>
  <c r="M12" s="1"/>
  <c r="G8"/>
  <c r="K14"/>
  <c r="I14"/>
  <c r="H13"/>
  <c r="K15"/>
  <c r="I15"/>
  <c r="J15" s="1"/>
  <c r="K16"/>
  <c r="I16"/>
  <c r="J16" s="1"/>
  <c r="G23"/>
  <c r="G22" s="1"/>
  <c r="H23" s="1"/>
  <c r="E22"/>
  <c r="G31"/>
  <c r="H32"/>
  <c r="H44"/>
  <c r="K45"/>
  <c r="K44" s="1"/>
  <c r="K48"/>
  <c r="K47" s="1"/>
  <c r="I48"/>
  <c r="H47"/>
  <c r="G49"/>
  <c r="H50"/>
  <c r="H55"/>
  <c r="G54"/>
  <c r="G57"/>
  <c r="G56" s="1"/>
  <c r="H57" s="1"/>
  <c r="E56"/>
  <c r="E64" s="1"/>
  <c r="I17"/>
  <c r="J17" s="1"/>
  <c r="M17" s="1"/>
  <c r="I19"/>
  <c r="J19" s="1"/>
  <c r="M19" s="1"/>
  <c r="I25"/>
  <c r="I53"/>
  <c r="I59"/>
  <c r="I61"/>
  <c r="I29"/>
  <c r="I30"/>
  <c r="J30" s="1"/>
  <c r="M30" s="1"/>
  <c r="I34"/>
  <c r="I35"/>
  <c r="J35" s="1"/>
  <c r="M35" s="1"/>
  <c r="G41"/>
  <c r="H41" s="1"/>
  <c r="K41" s="1"/>
  <c r="M41" s="1"/>
  <c r="I42"/>
  <c r="J42" s="1"/>
  <c r="M42" s="1"/>
  <c r="D67"/>
  <c r="D77" s="1"/>
  <c r="M70" s="1"/>
  <c r="K9" i="54"/>
  <c r="K8" s="1"/>
  <c r="I9"/>
  <c r="K18"/>
  <c r="I18"/>
  <c r="J18" s="1"/>
  <c r="M18" s="1"/>
  <c r="H20"/>
  <c r="I21"/>
  <c r="E26"/>
  <c r="G27"/>
  <c r="G37"/>
  <c r="H38"/>
  <c r="H44"/>
  <c r="K45"/>
  <c r="K44" s="1"/>
  <c r="H12"/>
  <c r="I12" s="1"/>
  <c r="J12" s="1"/>
  <c r="M12" s="1"/>
  <c r="G8"/>
  <c r="K14"/>
  <c r="I14"/>
  <c r="H13"/>
  <c r="K15"/>
  <c r="I15"/>
  <c r="J15" s="1"/>
  <c r="K16"/>
  <c r="I16"/>
  <c r="J16" s="1"/>
  <c r="G23"/>
  <c r="G22" s="1"/>
  <c r="H23" s="1"/>
  <c r="E22"/>
  <c r="J29"/>
  <c r="I28"/>
  <c r="G31"/>
  <c r="H32"/>
  <c r="K40"/>
  <c r="I40"/>
  <c r="K43"/>
  <c r="I43"/>
  <c r="J43" s="1"/>
  <c r="M43" s="1"/>
  <c r="M45"/>
  <c r="M44" s="1"/>
  <c r="J44"/>
  <c r="G49"/>
  <c r="H50"/>
  <c r="H55"/>
  <c r="G54"/>
  <c r="G57"/>
  <c r="G56" s="1"/>
  <c r="H57" s="1"/>
  <c r="E56"/>
  <c r="I59"/>
  <c r="E58"/>
  <c r="J61"/>
  <c r="I60"/>
  <c r="I17"/>
  <c r="J17" s="1"/>
  <c r="M17" s="1"/>
  <c r="I19"/>
  <c r="J19" s="1"/>
  <c r="M19" s="1"/>
  <c r="I25"/>
  <c r="I53"/>
  <c r="I34"/>
  <c r="I35"/>
  <c r="J35" s="1"/>
  <c r="M35" s="1"/>
  <c r="G41"/>
  <c r="I42"/>
  <c r="J42" s="1"/>
  <c r="M42" s="1"/>
  <c r="I48"/>
  <c r="D67"/>
  <c r="D77" s="1"/>
  <c r="M70" s="1"/>
  <c r="H9" i="55"/>
  <c r="F8"/>
  <c r="F64" s="1"/>
  <c r="K17"/>
  <c r="I17"/>
  <c r="J17" s="1"/>
  <c r="M17" s="1"/>
  <c r="H20"/>
  <c r="E26"/>
  <c r="G27"/>
  <c r="I38"/>
  <c r="H37"/>
  <c r="H40"/>
  <c r="K43"/>
  <c r="I43"/>
  <c r="J43" s="1"/>
  <c r="M43" s="1"/>
  <c r="J44"/>
  <c r="K48"/>
  <c r="K47" s="1"/>
  <c r="I48"/>
  <c r="H47"/>
  <c r="G49"/>
  <c r="H50"/>
  <c r="H55"/>
  <c r="G54"/>
  <c r="G57"/>
  <c r="G56" s="1"/>
  <c r="H57" s="1"/>
  <c r="E56"/>
  <c r="H12"/>
  <c r="I12" s="1"/>
  <c r="J12" s="1"/>
  <c r="M12" s="1"/>
  <c r="G8"/>
  <c r="K14"/>
  <c r="I14"/>
  <c r="H13"/>
  <c r="K15"/>
  <c r="I15"/>
  <c r="J15" s="1"/>
  <c r="M15" s="1"/>
  <c r="K19"/>
  <c r="I19"/>
  <c r="J19" s="1"/>
  <c r="M19" s="1"/>
  <c r="G23"/>
  <c r="G22" s="1"/>
  <c r="H23" s="1"/>
  <c r="E22"/>
  <c r="E64" s="1"/>
  <c r="I32"/>
  <c r="H31"/>
  <c r="J34"/>
  <c r="I33"/>
  <c r="H44"/>
  <c r="K45"/>
  <c r="K44" s="1"/>
  <c r="I25"/>
  <c r="I53"/>
  <c r="I59"/>
  <c r="I61"/>
  <c r="I10"/>
  <c r="J10" s="1"/>
  <c r="M10" s="1"/>
  <c r="I16"/>
  <c r="J16" s="1"/>
  <c r="M16" s="1"/>
  <c r="I18"/>
  <c r="J18" s="1"/>
  <c r="M18" s="1"/>
  <c r="I29"/>
  <c r="G41"/>
  <c r="H41" s="1"/>
  <c r="K41" s="1"/>
  <c r="M41" s="1"/>
  <c r="I42"/>
  <c r="J42" s="1"/>
  <c r="M42" s="1"/>
  <c r="D67"/>
  <c r="D77" s="1"/>
  <c r="M70" s="1"/>
  <c r="F9" i="56"/>
  <c r="E8"/>
  <c r="K14"/>
  <c r="I14"/>
  <c r="H15"/>
  <c r="G13"/>
  <c r="K18"/>
  <c r="I18"/>
  <c r="J18" s="1"/>
  <c r="M18" s="1"/>
  <c r="K23"/>
  <c r="K22" s="1"/>
  <c r="I23"/>
  <c r="J25"/>
  <c r="I24"/>
  <c r="G31"/>
  <c r="H32"/>
  <c r="K43"/>
  <c r="I43"/>
  <c r="J43" s="1"/>
  <c r="M43" s="1"/>
  <c r="H44"/>
  <c r="K45"/>
  <c r="K44" s="1"/>
  <c r="G49"/>
  <c r="H50"/>
  <c r="I58"/>
  <c r="G18" i="35"/>
  <c r="I19"/>
  <c r="K10" i="56"/>
  <c r="I10"/>
  <c r="J10" s="1"/>
  <c r="M10" s="1"/>
  <c r="K11"/>
  <c r="I11"/>
  <c r="J11" s="1"/>
  <c r="M11" s="1"/>
  <c r="H12"/>
  <c r="I12" s="1"/>
  <c r="J12" s="1"/>
  <c r="M12" s="1"/>
  <c r="G8"/>
  <c r="K16"/>
  <c r="I16"/>
  <c r="J16" s="1"/>
  <c r="M16" s="1"/>
  <c r="E26"/>
  <c r="G27"/>
  <c r="G37"/>
  <c r="H38"/>
  <c r="K40"/>
  <c r="I40"/>
  <c r="M45"/>
  <c r="J44"/>
  <c r="H54"/>
  <c r="K55"/>
  <c r="K54" s="1"/>
  <c r="I55"/>
  <c r="G57"/>
  <c r="G56" s="1"/>
  <c r="H57" s="1"/>
  <c r="E56"/>
  <c r="M17"/>
  <c r="K19"/>
  <c r="M19" s="1"/>
  <c r="M46"/>
  <c r="H30" i="35"/>
  <c r="H13" i="56"/>
  <c r="H13" i="6"/>
  <c r="I53" i="56"/>
  <c r="I61"/>
  <c r="G47" i="35"/>
  <c r="G35"/>
  <c r="G16"/>
  <c r="I16" s="1"/>
  <c r="C13" i="6"/>
  <c r="E13" s="1"/>
  <c r="G15"/>
  <c r="H15" s="1"/>
  <c r="E34"/>
  <c r="H28" i="56"/>
  <c r="I29"/>
  <c r="I30"/>
  <c r="J30" s="1"/>
  <c r="M30" s="1"/>
  <c r="E31"/>
  <c r="H33"/>
  <c r="I34"/>
  <c r="I35"/>
  <c r="J35" s="1"/>
  <c r="M35" s="1"/>
  <c r="E39"/>
  <c r="G41"/>
  <c r="I42"/>
  <c r="J42" s="1"/>
  <c r="M42" s="1"/>
  <c r="I48"/>
  <c r="D67"/>
  <c r="D77" s="1"/>
  <c r="M70" s="1"/>
  <c r="K15" i="57"/>
  <c r="I15"/>
  <c r="J15" s="1"/>
  <c r="M15" s="1"/>
  <c r="H13"/>
  <c r="K19"/>
  <c r="I19"/>
  <c r="J19" s="1"/>
  <c r="M19" s="1"/>
  <c r="G23"/>
  <c r="G22" s="1"/>
  <c r="H23" s="1"/>
  <c r="E22"/>
  <c r="J29"/>
  <c r="G31"/>
  <c r="H32"/>
  <c r="H44"/>
  <c r="K45"/>
  <c r="K44" s="1"/>
  <c r="G49"/>
  <c r="H50"/>
  <c r="H55"/>
  <c r="G54"/>
  <c r="G57"/>
  <c r="G56" s="1"/>
  <c r="H57" s="1"/>
  <c r="E56"/>
  <c r="I59"/>
  <c r="E58"/>
  <c r="H9"/>
  <c r="F8"/>
  <c r="F64" s="1"/>
  <c r="K17"/>
  <c r="K13" s="1"/>
  <c r="I17"/>
  <c r="J17" s="1"/>
  <c r="H20"/>
  <c r="E26"/>
  <c r="E64" s="1"/>
  <c r="G27"/>
  <c r="G37"/>
  <c r="H38"/>
  <c r="H40"/>
  <c r="K43"/>
  <c r="I43"/>
  <c r="J43" s="1"/>
  <c r="M43" s="1"/>
  <c r="M45"/>
  <c r="M44" s="1"/>
  <c r="J44"/>
  <c r="I25"/>
  <c r="I53"/>
  <c r="I61"/>
  <c r="I10"/>
  <c r="J10" s="1"/>
  <c r="M10" s="1"/>
  <c r="I11"/>
  <c r="J11" s="1"/>
  <c r="M11" s="1"/>
  <c r="I14"/>
  <c r="I16"/>
  <c r="J16" s="1"/>
  <c r="M16" s="1"/>
  <c r="I18"/>
  <c r="J18" s="1"/>
  <c r="M18" s="1"/>
  <c r="I30"/>
  <c r="J30" s="1"/>
  <c r="M30" s="1"/>
  <c r="I34"/>
  <c r="I35"/>
  <c r="J35" s="1"/>
  <c r="M35" s="1"/>
  <c r="G41"/>
  <c r="H41" s="1"/>
  <c r="K41" s="1"/>
  <c r="M41" s="1"/>
  <c r="I42"/>
  <c r="J42" s="1"/>
  <c r="M42" s="1"/>
  <c r="I48"/>
  <c r="D67"/>
  <c r="D77" s="1"/>
  <c r="M70" s="1"/>
  <c r="K9" i="58"/>
  <c r="K8" s="1"/>
  <c r="I9"/>
  <c r="K16"/>
  <c r="I16"/>
  <c r="J16" s="1"/>
  <c r="M16" s="1"/>
  <c r="G23"/>
  <c r="G22" s="1"/>
  <c r="H23" s="1"/>
  <c r="E22"/>
  <c r="G37"/>
  <c r="H38"/>
  <c r="H44"/>
  <c r="K45"/>
  <c r="K44" s="1"/>
  <c r="K48"/>
  <c r="K47" s="1"/>
  <c r="I48"/>
  <c r="H47"/>
  <c r="G49"/>
  <c r="H50"/>
  <c r="H55"/>
  <c r="G54"/>
  <c r="G57"/>
  <c r="G56" s="1"/>
  <c r="H57" s="1"/>
  <c r="E56"/>
  <c r="I59"/>
  <c r="E58"/>
  <c r="H12"/>
  <c r="I12" s="1"/>
  <c r="J12" s="1"/>
  <c r="M12" s="1"/>
  <c r="G8"/>
  <c r="K14"/>
  <c r="K13" s="1"/>
  <c r="I14"/>
  <c r="H13"/>
  <c r="K18"/>
  <c r="I18"/>
  <c r="J18" s="1"/>
  <c r="M18" s="1"/>
  <c r="H20"/>
  <c r="E26"/>
  <c r="E64" s="1"/>
  <c r="G27"/>
  <c r="J29"/>
  <c r="I28"/>
  <c r="I32"/>
  <c r="H31"/>
  <c r="K40"/>
  <c r="I40"/>
  <c r="K43"/>
  <c r="I43"/>
  <c r="J43" s="1"/>
  <c r="M45"/>
  <c r="M44" s="1"/>
  <c r="J44"/>
  <c r="I15"/>
  <c r="J15" s="1"/>
  <c r="M15" s="1"/>
  <c r="I17"/>
  <c r="J17" s="1"/>
  <c r="M17" s="1"/>
  <c r="I19"/>
  <c r="J19" s="1"/>
  <c r="M19" s="1"/>
  <c r="I25"/>
  <c r="I53"/>
  <c r="I61"/>
  <c r="I34"/>
  <c r="I35"/>
  <c r="J35" s="1"/>
  <c r="M35" s="1"/>
  <c r="G41"/>
  <c r="I42"/>
  <c r="J42" s="1"/>
  <c r="M42" s="1"/>
  <c r="D67"/>
  <c r="D77" s="1"/>
  <c r="M70" s="1"/>
  <c r="K16" i="59"/>
  <c r="I16"/>
  <c r="J16" s="1"/>
  <c r="M16" s="1"/>
  <c r="G23"/>
  <c r="G22" s="1"/>
  <c r="H23" s="1"/>
  <c r="E22"/>
  <c r="J29"/>
  <c r="I28"/>
  <c r="G37"/>
  <c r="H38"/>
  <c r="H40"/>
  <c r="K43"/>
  <c r="I43"/>
  <c r="J43" s="1"/>
  <c r="M43" s="1"/>
  <c r="J44"/>
  <c r="K48"/>
  <c r="K47" s="1"/>
  <c r="I48"/>
  <c r="H47"/>
  <c r="G49"/>
  <c r="H50"/>
  <c r="H55"/>
  <c r="G54"/>
  <c r="G57"/>
  <c r="G56" s="1"/>
  <c r="H57" s="1"/>
  <c r="E56"/>
  <c r="K9"/>
  <c r="K8" s="1"/>
  <c r="I9"/>
  <c r="H12"/>
  <c r="I12" s="1"/>
  <c r="J12" s="1"/>
  <c r="M12" s="1"/>
  <c r="G8"/>
  <c r="K14"/>
  <c r="I14"/>
  <c r="H13"/>
  <c r="K18"/>
  <c r="I18"/>
  <c r="J18" s="1"/>
  <c r="H20"/>
  <c r="E26"/>
  <c r="G27"/>
  <c r="G31"/>
  <c r="H32"/>
  <c r="H44"/>
  <c r="K45"/>
  <c r="K44" s="1"/>
  <c r="E64"/>
  <c r="I15"/>
  <c r="J15" s="1"/>
  <c r="M15" s="1"/>
  <c r="I17"/>
  <c r="J17" s="1"/>
  <c r="M17" s="1"/>
  <c r="I19"/>
  <c r="J19" s="1"/>
  <c r="M19" s="1"/>
  <c r="I25"/>
  <c r="I53"/>
  <c r="I59"/>
  <c r="I61"/>
  <c r="I34"/>
  <c r="I35"/>
  <c r="J35" s="1"/>
  <c r="M35" s="1"/>
  <c r="G41"/>
  <c r="H41" s="1"/>
  <c r="K41" s="1"/>
  <c r="M41" s="1"/>
  <c r="I42"/>
  <c r="J42" s="1"/>
  <c r="M42" s="1"/>
  <c r="D67"/>
  <c r="D77" s="1"/>
  <c r="M70" s="1"/>
  <c r="H12" i="60"/>
  <c r="I12" s="1"/>
  <c r="J12" s="1"/>
  <c r="M12" s="1"/>
  <c r="G8"/>
  <c r="K14"/>
  <c r="I14"/>
  <c r="H13"/>
  <c r="K15"/>
  <c r="I15"/>
  <c r="J15" s="1"/>
  <c r="M15" s="1"/>
  <c r="K16"/>
  <c r="I16"/>
  <c r="J16" s="1"/>
  <c r="M16" s="1"/>
  <c r="H20"/>
  <c r="I21"/>
  <c r="E26"/>
  <c r="G27"/>
  <c r="I32"/>
  <c r="H31"/>
  <c r="H44"/>
  <c r="K45"/>
  <c r="K44" s="1"/>
  <c r="K48"/>
  <c r="K47" s="1"/>
  <c r="I48"/>
  <c r="H47"/>
  <c r="G49"/>
  <c r="H50"/>
  <c r="H55"/>
  <c r="G54"/>
  <c r="G57"/>
  <c r="G56" s="1"/>
  <c r="H57" s="1"/>
  <c r="E56"/>
  <c r="M10"/>
  <c r="M46"/>
  <c r="K9"/>
  <c r="K8" s="1"/>
  <c r="I9"/>
  <c r="H8"/>
  <c r="K18"/>
  <c r="I18"/>
  <c r="J18" s="1"/>
  <c r="K19"/>
  <c r="I19"/>
  <c r="J19" s="1"/>
  <c r="G23"/>
  <c r="G22" s="1"/>
  <c r="H23" s="1"/>
  <c r="E22"/>
  <c r="J29"/>
  <c r="I28"/>
  <c r="I38"/>
  <c r="H37"/>
  <c r="H40"/>
  <c r="K43"/>
  <c r="I43"/>
  <c r="J43" s="1"/>
  <c r="M45"/>
  <c r="M44" s="1"/>
  <c r="J44"/>
  <c r="E64"/>
  <c r="I17"/>
  <c r="J17" s="1"/>
  <c r="M17" s="1"/>
  <c r="I25"/>
  <c r="I53"/>
  <c r="I59"/>
  <c r="I61"/>
  <c r="F53" i="35" s="1"/>
  <c r="I11" i="60"/>
  <c r="J11" s="1"/>
  <c r="M11" s="1"/>
  <c r="I34"/>
  <c r="I35"/>
  <c r="J35" s="1"/>
  <c r="M35" s="1"/>
  <c r="G41"/>
  <c r="H41" s="1"/>
  <c r="K41" s="1"/>
  <c r="M41" s="1"/>
  <c r="I42"/>
  <c r="J42" s="1"/>
  <c r="M42" s="1"/>
  <c r="D67"/>
  <c r="D77" s="1"/>
  <c r="M70" s="1"/>
  <c r="K9" i="61"/>
  <c r="K8" s="1"/>
  <c r="I9"/>
  <c r="H12"/>
  <c r="I12" s="1"/>
  <c r="J12" s="1"/>
  <c r="M12" s="1"/>
  <c r="G8"/>
  <c r="K14"/>
  <c r="I14"/>
  <c r="H13"/>
  <c r="K15"/>
  <c r="I15"/>
  <c r="J15" s="1"/>
  <c r="M15" s="1"/>
  <c r="K16"/>
  <c r="I16"/>
  <c r="J16" s="1"/>
  <c r="M16" s="1"/>
  <c r="K17"/>
  <c r="I17"/>
  <c r="J17" s="1"/>
  <c r="M17" s="1"/>
  <c r="K18"/>
  <c r="I18"/>
  <c r="J18" s="1"/>
  <c r="M18" s="1"/>
  <c r="K19"/>
  <c r="I19"/>
  <c r="J19" s="1"/>
  <c r="M19" s="1"/>
  <c r="G23"/>
  <c r="G22" s="1"/>
  <c r="H23" s="1"/>
  <c r="E22"/>
  <c r="G31"/>
  <c r="H32"/>
  <c r="H44"/>
  <c r="K45"/>
  <c r="K44" s="1"/>
  <c r="K48"/>
  <c r="K47" s="1"/>
  <c r="I48"/>
  <c r="H47"/>
  <c r="G49"/>
  <c r="H50"/>
  <c r="E64"/>
  <c r="M46"/>
  <c r="H20"/>
  <c r="E26"/>
  <c r="G27"/>
  <c r="G37"/>
  <c r="H38"/>
  <c r="H40"/>
  <c r="K43"/>
  <c r="I43"/>
  <c r="J43" s="1"/>
  <c r="M43" s="1"/>
  <c r="J44"/>
  <c r="J53"/>
  <c r="I52"/>
  <c r="H54"/>
  <c r="K55"/>
  <c r="K54" s="1"/>
  <c r="I55"/>
  <c r="G57"/>
  <c r="G56" s="1"/>
  <c r="H57" s="1"/>
  <c r="E56"/>
  <c r="I59"/>
  <c r="F55" i="35" s="1"/>
  <c r="E58" i="61"/>
  <c r="M10"/>
  <c r="D77"/>
  <c r="M70" s="1"/>
  <c r="I25"/>
  <c r="I61"/>
  <c r="I29"/>
  <c r="I30"/>
  <c r="J30" s="1"/>
  <c r="M30" s="1"/>
  <c r="I34"/>
  <c r="I35"/>
  <c r="J35" s="1"/>
  <c r="M35" s="1"/>
  <c r="G41"/>
  <c r="H41" s="1"/>
  <c r="K41" s="1"/>
  <c r="M41" s="1"/>
  <c r="I42"/>
  <c r="J42" s="1"/>
  <c r="M42" s="1"/>
  <c r="I53" i="35"/>
  <c r="I49"/>
  <c r="G48"/>
  <c r="G11"/>
  <c r="I11" s="1"/>
  <c r="G39"/>
  <c r="I40"/>
  <c r="E33" i="6"/>
  <c r="C33"/>
  <c r="F28" i="70" s="1"/>
  <c r="I28" s="1"/>
  <c r="G44" i="35"/>
  <c r="I44" s="1"/>
  <c r="G43"/>
  <c r="I43" s="1"/>
  <c r="G37"/>
  <c r="H29" i="6"/>
  <c r="I29" s="1"/>
  <c r="E31"/>
  <c r="E25"/>
  <c r="F22" i="70" s="1"/>
  <c r="D18" i="6"/>
  <c r="E18" s="1"/>
  <c r="F17" i="70" s="1"/>
  <c r="C15" i="6"/>
  <c r="C26" s="1"/>
  <c r="G55" i="62"/>
  <c r="K52"/>
  <c r="M53"/>
  <c r="M52" s="1"/>
  <c r="G49"/>
  <c r="H50"/>
  <c r="M46"/>
  <c r="M44" s="1"/>
  <c r="G39"/>
  <c r="H40"/>
  <c r="G37"/>
  <c r="H38"/>
  <c r="M35"/>
  <c r="M33" s="1"/>
  <c r="J33"/>
  <c r="H32"/>
  <c r="G31"/>
  <c r="K28"/>
  <c r="M29"/>
  <c r="M28" s="1"/>
  <c r="E28"/>
  <c r="E26"/>
  <c r="G27"/>
  <c r="I25"/>
  <c r="E24"/>
  <c r="I18"/>
  <c r="J18" s="1"/>
  <c r="K18"/>
  <c r="H13"/>
  <c r="K14"/>
  <c r="K13" s="1"/>
  <c r="I14"/>
  <c r="E64"/>
  <c r="K8"/>
  <c r="M11"/>
  <c r="M35" i="37"/>
  <c r="E56" i="63"/>
  <c r="G57"/>
  <c r="G56" s="1"/>
  <c r="H57" s="1"/>
  <c r="K60"/>
  <c r="M61"/>
  <c r="M60" s="1"/>
  <c r="H51"/>
  <c r="G49"/>
  <c r="H38"/>
  <c r="G37"/>
  <c r="M35"/>
  <c r="M33" s="1"/>
  <c r="K33"/>
  <c r="I30"/>
  <c r="J30" s="1"/>
  <c r="J28" s="1"/>
  <c r="H28"/>
  <c r="M30"/>
  <c r="M28"/>
  <c r="I28"/>
  <c r="K24"/>
  <c r="M25"/>
  <c r="M24" s="1"/>
  <c r="E64"/>
  <c r="K19"/>
  <c r="H17" i="35"/>
  <c r="I19" i="63"/>
  <c r="J19" s="1"/>
  <c r="M19" s="1"/>
  <c r="H13"/>
  <c r="K13"/>
  <c r="I13"/>
  <c r="D77" i="64"/>
  <c r="M70" s="1"/>
  <c r="J53"/>
  <c r="E58"/>
  <c r="I59"/>
  <c r="J51"/>
  <c r="M51" s="1"/>
  <c r="I49"/>
  <c r="M49"/>
  <c r="H38"/>
  <c r="G37"/>
  <c r="G16" i="6" s="1"/>
  <c r="H16" s="1"/>
  <c r="M35" i="64"/>
  <c r="M33" s="1"/>
  <c r="K33"/>
  <c r="M30"/>
  <c r="J28"/>
  <c r="K28"/>
  <c r="M29"/>
  <c r="M28" s="1"/>
  <c r="E28"/>
  <c r="E64" s="1"/>
  <c r="M25"/>
  <c r="M24" s="1"/>
  <c r="K24"/>
  <c r="K13"/>
  <c r="C64"/>
  <c r="K8"/>
  <c r="H28" i="70"/>
  <c r="H45" i="35"/>
  <c r="J12" i="64"/>
  <c r="M12" s="1"/>
  <c r="I8"/>
  <c r="M14"/>
  <c r="J13"/>
  <c r="H23"/>
  <c r="G64"/>
  <c r="M15" i="63"/>
  <c r="M13" s="1"/>
  <c r="J13"/>
  <c r="H23"/>
  <c r="G64"/>
  <c r="K57"/>
  <c r="K56" s="1"/>
  <c r="I57"/>
  <c r="H56"/>
  <c r="M16" i="62"/>
  <c r="H35" i="35"/>
  <c r="H34" s="1"/>
  <c r="M8" i="64"/>
  <c r="M43"/>
  <c r="M39" s="1"/>
  <c r="J39"/>
  <c r="M50" i="63"/>
  <c r="M12"/>
  <c r="J8"/>
  <c r="J12" i="62"/>
  <c r="I8"/>
  <c r="M8" i="63"/>
  <c r="K43" i="37"/>
  <c r="I43"/>
  <c r="J8" i="64"/>
  <c r="J49"/>
  <c r="I27"/>
  <c r="M19"/>
  <c r="E24" i="6"/>
  <c r="K58" i="37"/>
  <c r="I14"/>
  <c r="J14" s="1"/>
  <c r="M16"/>
  <c r="H47"/>
  <c r="K28"/>
  <c r="F50" i="6"/>
  <c r="H36"/>
  <c r="I36" s="1"/>
  <c r="H35"/>
  <c r="I35" s="1"/>
  <c r="H30"/>
  <c r="D11"/>
  <c r="E11" s="1"/>
  <c r="D10"/>
  <c r="E52"/>
  <c r="J61" i="37"/>
  <c r="J55"/>
  <c r="K42"/>
  <c r="M42" s="1"/>
  <c r="G29" i="35"/>
  <c r="I29" s="1"/>
  <c r="G19" i="6"/>
  <c r="H19" s="1"/>
  <c r="G18"/>
  <c r="H18" s="1"/>
  <c r="E8"/>
  <c r="H58" i="37"/>
  <c r="J58"/>
  <c r="M59"/>
  <c r="M58" s="1"/>
  <c r="I58"/>
  <c r="G51" i="35"/>
  <c r="E56" i="37"/>
  <c r="E23" i="6" s="1"/>
  <c r="G57" i="37"/>
  <c r="G56" s="1"/>
  <c r="I53"/>
  <c r="M48"/>
  <c r="M47" s="1"/>
  <c r="J47"/>
  <c r="K41"/>
  <c r="K39" s="1"/>
  <c r="H39"/>
  <c r="M41"/>
  <c r="I18"/>
  <c r="H16" i="35"/>
  <c r="K18" i="37"/>
  <c r="K17"/>
  <c r="H15" i="35"/>
  <c r="I17" i="37"/>
  <c r="J11"/>
  <c r="M11" s="1"/>
  <c r="I10"/>
  <c r="D77"/>
  <c r="M70" s="1"/>
  <c r="F49" i="6" s="1"/>
  <c r="I33" i="37"/>
  <c r="J34"/>
  <c r="F31" i="35"/>
  <c r="M31" s="1"/>
  <c r="H31" i="37"/>
  <c r="I32"/>
  <c r="G31"/>
  <c r="G14" i="6" s="1"/>
  <c r="H14" s="1"/>
  <c r="M28" i="37"/>
  <c r="G27"/>
  <c r="E26"/>
  <c r="G25" i="35"/>
  <c r="E24" i="37"/>
  <c r="G23" i="35"/>
  <c r="I25" i="37"/>
  <c r="G21" i="35"/>
  <c r="G22" i="37"/>
  <c r="E22"/>
  <c r="E64" s="1"/>
  <c r="H21"/>
  <c r="G9" i="6"/>
  <c r="H9" s="1"/>
  <c r="I15" i="37"/>
  <c r="K15"/>
  <c r="K13" s="1"/>
  <c r="H13"/>
  <c r="H12" i="35"/>
  <c r="G12"/>
  <c r="I12" s="1"/>
  <c r="M14" i="37"/>
  <c r="J10"/>
  <c r="M10" s="1"/>
  <c r="H12"/>
  <c r="G8"/>
  <c r="G7" i="6" s="1"/>
  <c r="E21"/>
  <c r="F19" i="70" s="1"/>
  <c r="I51" i="37"/>
  <c r="H38" i="35"/>
  <c r="G49" i="37"/>
  <c r="H50"/>
  <c r="K44"/>
  <c r="M45"/>
  <c r="M44" s="1"/>
  <c r="J44"/>
  <c r="K27" i="70"/>
  <c r="H29"/>
  <c r="J18"/>
  <c r="H18"/>
  <c r="M53" i="35" l="1"/>
  <c r="G19" i="70"/>
  <c r="I19"/>
  <c r="G29"/>
  <c r="I29"/>
  <c r="J29" s="1"/>
  <c r="G17"/>
  <c r="I17"/>
  <c r="U18"/>
  <c r="K13" i="68"/>
  <c r="M16"/>
  <c r="M15"/>
  <c r="M15" i="1"/>
  <c r="K13"/>
  <c r="I33" i="38"/>
  <c r="K13"/>
  <c r="J28" i="70"/>
  <c r="G28"/>
  <c r="F54" i="35"/>
  <c r="M54" s="1"/>
  <c r="M55"/>
  <c r="E64" i="41"/>
  <c r="K13" i="42"/>
  <c r="E64" i="43"/>
  <c r="H8"/>
  <c r="M46" i="47"/>
  <c r="F64"/>
  <c r="E64" i="49"/>
  <c r="M19"/>
  <c r="M18"/>
  <c r="M17"/>
  <c r="M16"/>
  <c r="E64" i="52"/>
  <c r="K13"/>
  <c r="M45" i="53"/>
  <c r="M44" s="1"/>
  <c r="E64" i="54"/>
  <c r="H8"/>
  <c r="J21" i="56"/>
  <c r="I20"/>
  <c r="H8" i="59"/>
  <c r="K13" i="61"/>
  <c r="I58" i="62"/>
  <c r="J59"/>
  <c r="H56"/>
  <c r="K57"/>
  <c r="K56" s="1"/>
  <c r="I57"/>
  <c r="H22"/>
  <c r="K23"/>
  <c r="K22" s="1"/>
  <c r="I23"/>
  <c r="I20"/>
  <c r="J21"/>
  <c r="M18"/>
  <c r="J61" i="69"/>
  <c r="I60"/>
  <c r="J25"/>
  <c r="I24"/>
  <c r="I32"/>
  <c r="H31"/>
  <c r="I47"/>
  <c r="J48"/>
  <c r="H27"/>
  <c r="G26"/>
  <c r="J21"/>
  <c r="I20"/>
  <c r="G39"/>
  <c r="K13"/>
  <c r="J59"/>
  <c r="I58"/>
  <c r="H56"/>
  <c r="K57"/>
  <c r="K56" s="1"/>
  <c r="I57"/>
  <c r="H54"/>
  <c r="K55"/>
  <c r="K54" s="1"/>
  <c r="I55"/>
  <c r="M53"/>
  <c r="M52" s="1"/>
  <c r="J52"/>
  <c r="H39"/>
  <c r="K40"/>
  <c r="K39" s="1"/>
  <c r="I40"/>
  <c r="I37"/>
  <c r="J38"/>
  <c r="J28"/>
  <c r="M29"/>
  <c r="M28" s="1"/>
  <c r="K23"/>
  <c r="K22" s="1"/>
  <c r="I23"/>
  <c r="H22"/>
  <c r="I8"/>
  <c r="J9"/>
  <c r="K50"/>
  <c r="K49" s="1"/>
  <c r="I50"/>
  <c r="H49"/>
  <c r="J33"/>
  <c r="M34"/>
  <c r="M33" s="1"/>
  <c r="I13"/>
  <c r="J14"/>
  <c r="G64"/>
  <c r="I47" i="68"/>
  <c r="J48"/>
  <c r="H41"/>
  <c r="G39"/>
  <c r="J34"/>
  <c r="I33"/>
  <c r="J29"/>
  <c r="I28"/>
  <c r="J61"/>
  <c r="I60"/>
  <c r="J25"/>
  <c r="I24"/>
  <c r="K50"/>
  <c r="K49" s="1"/>
  <c r="I50"/>
  <c r="H49"/>
  <c r="J40"/>
  <c r="I39"/>
  <c r="K23"/>
  <c r="K22" s="1"/>
  <c r="I23"/>
  <c r="H22"/>
  <c r="H56"/>
  <c r="K57"/>
  <c r="K56" s="1"/>
  <c r="I57"/>
  <c r="H54"/>
  <c r="K55"/>
  <c r="K54" s="1"/>
  <c r="I55"/>
  <c r="M53"/>
  <c r="M52" s="1"/>
  <c r="J52"/>
  <c r="M45"/>
  <c r="M44" s="1"/>
  <c r="I13"/>
  <c r="J14"/>
  <c r="I58"/>
  <c r="I32"/>
  <c r="H31"/>
  <c r="K9"/>
  <c r="K8" s="1"/>
  <c r="I9"/>
  <c r="H8"/>
  <c r="I38"/>
  <c r="H37"/>
  <c r="H27"/>
  <c r="G26"/>
  <c r="J21"/>
  <c r="I20"/>
  <c r="G64"/>
  <c r="J34" i="1"/>
  <c r="I33"/>
  <c r="J61"/>
  <c r="I60"/>
  <c r="J53"/>
  <c r="I52"/>
  <c r="H27"/>
  <c r="G26"/>
  <c r="J21"/>
  <c r="I20"/>
  <c r="H56"/>
  <c r="K57"/>
  <c r="K56" s="1"/>
  <c r="I57"/>
  <c r="H54"/>
  <c r="K55"/>
  <c r="K54" s="1"/>
  <c r="I55"/>
  <c r="I47"/>
  <c r="J48"/>
  <c r="I32"/>
  <c r="H31"/>
  <c r="G39"/>
  <c r="H8"/>
  <c r="J59"/>
  <c r="I58"/>
  <c r="J25"/>
  <c r="I24"/>
  <c r="H39"/>
  <c r="K40"/>
  <c r="K39" s="1"/>
  <c r="I40"/>
  <c r="I37"/>
  <c r="J38"/>
  <c r="I13"/>
  <c r="J14"/>
  <c r="K50"/>
  <c r="K49" s="1"/>
  <c r="I50"/>
  <c r="H49"/>
  <c r="J28"/>
  <c r="M29"/>
  <c r="M28" s="1"/>
  <c r="K23"/>
  <c r="K22" s="1"/>
  <c r="I23"/>
  <c r="H22"/>
  <c r="I8"/>
  <c r="J9"/>
  <c r="G64"/>
  <c r="I47" i="38"/>
  <c r="J48"/>
  <c r="H41"/>
  <c r="G39"/>
  <c r="J61"/>
  <c r="I60"/>
  <c r="J25"/>
  <c r="I24"/>
  <c r="H56"/>
  <c r="K57"/>
  <c r="K56" s="1"/>
  <c r="I57"/>
  <c r="H54"/>
  <c r="K55"/>
  <c r="K54" s="1"/>
  <c r="I55"/>
  <c r="M53"/>
  <c r="M52" s="1"/>
  <c r="J52"/>
  <c r="K9"/>
  <c r="K8" s="1"/>
  <c r="I9"/>
  <c r="H8"/>
  <c r="M45"/>
  <c r="M44" s="1"/>
  <c r="I58"/>
  <c r="K50"/>
  <c r="K49" s="1"/>
  <c r="I50"/>
  <c r="H49"/>
  <c r="J40"/>
  <c r="I39"/>
  <c r="J33"/>
  <c r="M34"/>
  <c r="M33" s="1"/>
  <c r="I31"/>
  <c r="J32"/>
  <c r="J28"/>
  <c r="M29"/>
  <c r="M28" s="1"/>
  <c r="K23"/>
  <c r="K22" s="1"/>
  <c r="I23"/>
  <c r="H22"/>
  <c r="I13"/>
  <c r="J14"/>
  <c r="I38"/>
  <c r="H37"/>
  <c r="H27"/>
  <c r="G26"/>
  <c r="J21"/>
  <c r="I20"/>
  <c r="G64"/>
  <c r="M43"/>
  <c r="J61" i="39"/>
  <c r="I60"/>
  <c r="J25"/>
  <c r="I24"/>
  <c r="J55"/>
  <c r="I54"/>
  <c r="M53"/>
  <c r="M52" s="1"/>
  <c r="J52"/>
  <c r="H39"/>
  <c r="K40"/>
  <c r="K39" s="1"/>
  <c r="I40"/>
  <c r="I37"/>
  <c r="J38"/>
  <c r="I8"/>
  <c r="J9"/>
  <c r="K50"/>
  <c r="K49" s="1"/>
  <c r="I50"/>
  <c r="H49"/>
  <c r="I32"/>
  <c r="H31"/>
  <c r="K13"/>
  <c r="I47"/>
  <c r="J48"/>
  <c r="J59"/>
  <c r="I58"/>
  <c r="H56"/>
  <c r="K57"/>
  <c r="K56" s="1"/>
  <c r="I57"/>
  <c r="H27"/>
  <c r="G26"/>
  <c r="J21"/>
  <c r="I20"/>
  <c r="J33"/>
  <c r="M34"/>
  <c r="M33" s="1"/>
  <c r="J28"/>
  <c r="M29"/>
  <c r="M28" s="1"/>
  <c r="K23"/>
  <c r="K22" s="1"/>
  <c r="I23"/>
  <c r="H22"/>
  <c r="I13"/>
  <c r="J14"/>
  <c r="M43"/>
  <c r="G39"/>
  <c r="M16"/>
  <c r="G64"/>
  <c r="I13" i="40"/>
  <c r="J14"/>
  <c r="K9"/>
  <c r="K8" s="1"/>
  <c r="I9"/>
  <c r="H8"/>
  <c r="J55"/>
  <c r="I54"/>
  <c r="M53"/>
  <c r="M52" s="1"/>
  <c r="J52"/>
  <c r="M45"/>
  <c r="M44" s="1"/>
  <c r="I47"/>
  <c r="J48"/>
  <c r="H41"/>
  <c r="G39"/>
  <c r="J34"/>
  <c r="I33"/>
  <c r="J29"/>
  <c r="I28"/>
  <c r="J61"/>
  <c r="I60"/>
  <c r="K50"/>
  <c r="K49" s="1"/>
  <c r="I50"/>
  <c r="H49"/>
  <c r="J40"/>
  <c r="I39"/>
  <c r="I31"/>
  <c r="J32"/>
  <c r="J25"/>
  <c r="I24"/>
  <c r="K23"/>
  <c r="K22" s="1"/>
  <c r="I23"/>
  <c r="H22"/>
  <c r="J59"/>
  <c r="I58"/>
  <c r="H56"/>
  <c r="K57"/>
  <c r="K56" s="1"/>
  <c r="I57"/>
  <c r="I38"/>
  <c r="H37"/>
  <c r="H27"/>
  <c r="G26"/>
  <c r="J21"/>
  <c r="I20"/>
  <c r="M43"/>
  <c r="M17"/>
  <c r="G64"/>
  <c r="I47" i="41"/>
  <c r="J48"/>
  <c r="H41"/>
  <c r="G39"/>
  <c r="J34"/>
  <c r="I33"/>
  <c r="J61"/>
  <c r="I60"/>
  <c r="J25"/>
  <c r="I24"/>
  <c r="J59"/>
  <c r="I58"/>
  <c r="H56"/>
  <c r="K57"/>
  <c r="K56" s="1"/>
  <c r="I57"/>
  <c r="H54"/>
  <c r="K55"/>
  <c r="K54" s="1"/>
  <c r="I55"/>
  <c r="I32"/>
  <c r="H31"/>
  <c r="I8"/>
  <c r="J9"/>
  <c r="I28"/>
  <c r="M19"/>
  <c r="M15"/>
  <c r="K13"/>
  <c r="M45"/>
  <c r="M44" s="1"/>
  <c r="J53"/>
  <c r="I52"/>
  <c r="K50"/>
  <c r="K49" s="1"/>
  <c r="I50"/>
  <c r="H49"/>
  <c r="J40"/>
  <c r="I39"/>
  <c r="J28"/>
  <c r="M29"/>
  <c r="M28" s="1"/>
  <c r="K23"/>
  <c r="K22" s="1"/>
  <c r="I23"/>
  <c r="H22"/>
  <c r="I13"/>
  <c r="J14"/>
  <c r="I38"/>
  <c r="H37"/>
  <c r="H27"/>
  <c r="G26"/>
  <c r="J21"/>
  <c r="I20"/>
  <c r="G64"/>
  <c r="M61" i="42"/>
  <c r="M60" s="1"/>
  <c r="J60"/>
  <c r="H39"/>
  <c r="K40"/>
  <c r="K39" s="1"/>
  <c r="I40"/>
  <c r="I37"/>
  <c r="J38"/>
  <c r="I8"/>
  <c r="J9"/>
  <c r="J59"/>
  <c r="I58"/>
  <c r="H56"/>
  <c r="K57"/>
  <c r="K56" s="1"/>
  <c r="I57"/>
  <c r="I33"/>
  <c r="I47"/>
  <c r="J48"/>
  <c r="J25"/>
  <c r="I24"/>
  <c r="K50"/>
  <c r="K49" s="1"/>
  <c r="I50"/>
  <c r="H49"/>
  <c r="H27"/>
  <c r="G26"/>
  <c r="J21"/>
  <c r="I20"/>
  <c r="J55"/>
  <c r="I54"/>
  <c r="M53"/>
  <c r="M52" s="1"/>
  <c r="J52"/>
  <c r="J33"/>
  <c r="M34"/>
  <c r="M33" s="1"/>
  <c r="I31"/>
  <c r="J32"/>
  <c r="J28"/>
  <c r="M29"/>
  <c r="M28" s="1"/>
  <c r="K23"/>
  <c r="K22" s="1"/>
  <c r="I23"/>
  <c r="H22"/>
  <c r="I13"/>
  <c r="J14"/>
  <c r="M43"/>
  <c r="G39"/>
  <c r="G64" s="1"/>
  <c r="I47" i="43"/>
  <c r="J48"/>
  <c r="J34"/>
  <c r="I33"/>
  <c r="J55"/>
  <c r="I54"/>
  <c r="M53"/>
  <c r="M52" s="1"/>
  <c r="J52"/>
  <c r="H39"/>
  <c r="K40"/>
  <c r="K39" s="1"/>
  <c r="I40"/>
  <c r="J28"/>
  <c r="M29"/>
  <c r="M28" s="1"/>
  <c r="K23"/>
  <c r="K22" s="1"/>
  <c r="I23"/>
  <c r="H22"/>
  <c r="I13"/>
  <c r="J14"/>
  <c r="K50"/>
  <c r="K49" s="1"/>
  <c r="I50"/>
  <c r="H49"/>
  <c r="I32"/>
  <c r="H31"/>
  <c r="H27"/>
  <c r="G26"/>
  <c r="J21"/>
  <c r="I20"/>
  <c r="J25"/>
  <c r="I24"/>
  <c r="J59"/>
  <c r="I58"/>
  <c r="H56"/>
  <c r="K57"/>
  <c r="K56" s="1"/>
  <c r="I57"/>
  <c r="I38"/>
  <c r="H37"/>
  <c r="M61"/>
  <c r="M60" s="1"/>
  <c r="J60"/>
  <c r="I8"/>
  <c r="J9"/>
  <c r="M43"/>
  <c r="G39"/>
  <c r="M19"/>
  <c r="M18"/>
  <c r="M17"/>
  <c r="M16"/>
  <c r="M15"/>
  <c r="K13"/>
  <c r="I47" i="44"/>
  <c r="J48"/>
  <c r="J61"/>
  <c r="I60"/>
  <c r="M53"/>
  <c r="M52" s="1"/>
  <c r="J52"/>
  <c r="H39"/>
  <c r="K40"/>
  <c r="K39" s="1"/>
  <c r="I40"/>
  <c r="I37"/>
  <c r="J38"/>
  <c r="I31"/>
  <c r="J32"/>
  <c r="J28"/>
  <c r="M29"/>
  <c r="M28" s="1"/>
  <c r="K23"/>
  <c r="K22" s="1"/>
  <c r="I23"/>
  <c r="H22"/>
  <c r="I8"/>
  <c r="J9"/>
  <c r="H27"/>
  <c r="G26"/>
  <c r="J21"/>
  <c r="I20"/>
  <c r="K13"/>
  <c r="J25"/>
  <c r="I24"/>
  <c r="K50"/>
  <c r="K49" s="1"/>
  <c r="I50"/>
  <c r="H49"/>
  <c r="I58"/>
  <c r="H56"/>
  <c r="K57"/>
  <c r="K56" s="1"/>
  <c r="I57"/>
  <c r="H54"/>
  <c r="K55"/>
  <c r="K54" s="1"/>
  <c r="I55"/>
  <c r="J33"/>
  <c r="M34"/>
  <c r="M33" s="1"/>
  <c r="I13"/>
  <c r="J14"/>
  <c r="M16"/>
  <c r="M45"/>
  <c r="M44" s="1"/>
  <c r="G64"/>
  <c r="I47" i="45"/>
  <c r="J48"/>
  <c r="H41"/>
  <c r="G39"/>
  <c r="J34"/>
  <c r="I33"/>
  <c r="J25"/>
  <c r="I24"/>
  <c r="K50"/>
  <c r="K49" s="1"/>
  <c r="I50"/>
  <c r="H49"/>
  <c r="J40"/>
  <c r="I39"/>
  <c r="I31"/>
  <c r="J32"/>
  <c r="J28"/>
  <c r="M29"/>
  <c r="M28" s="1"/>
  <c r="K23"/>
  <c r="K22" s="1"/>
  <c r="I23"/>
  <c r="H22"/>
  <c r="I8"/>
  <c r="J9"/>
  <c r="J59"/>
  <c r="I58"/>
  <c r="H56"/>
  <c r="K57"/>
  <c r="K56" s="1"/>
  <c r="I57"/>
  <c r="I38"/>
  <c r="H37"/>
  <c r="H27"/>
  <c r="G26"/>
  <c r="J21"/>
  <c r="I20"/>
  <c r="K13"/>
  <c r="M61"/>
  <c r="M60" s="1"/>
  <c r="J60"/>
  <c r="J55"/>
  <c r="I54"/>
  <c r="M53"/>
  <c r="M52" s="1"/>
  <c r="J52"/>
  <c r="I13"/>
  <c r="J14"/>
  <c r="I28"/>
  <c r="M19"/>
  <c r="M18"/>
  <c r="M45"/>
  <c r="M44" s="1"/>
  <c r="G64"/>
  <c r="I13" i="46"/>
  <c r="J14"/>
  <c r="J59"/>
  <c r="I58"/>
  <c r="M53"/>
  <c r="M52" s="1"/>
  <c r="J52"/>
  <c r="I32"/>
  <c r="H31"/>
  <c r="H56"/>
  <c r="K57"/>
  <c r="K56" s="1"/>
  <c r="I57"/>
  <c r="H54"/>
  <c r="K55"/>
  <c r="K54" s="1"/>
  <c r="I55"/>
  <c r="K9"/>
  <c r="K8" s="1"/>
  <c r="I9"/>
  <c r="H8"/>
  <c r="M19"/>
  <c r="M45"/>
  <c r="M44" s="1"/>
  <c r="I47"/>
  <c r="J48"/>
  <c r="H41"/>
  <c r="G39"/>
  <c r="J34"/>
  <c r="I33"/>
  <c r="J29"/>
  <c r="I28"/>
  <c r="J61"/>
  <c r="I60"/>
  <c r="J25"/>
  <c r="I24"/>
  <c r="K50"/>
  <c r="K49" s="1"/>
  <c r="I50"/>
  <c r="H49"/>
  <c r="J40"/>
  <c r="I39"/>
  <c r="K23"/>
  <c r="K22" s="1"/>
  <c r="I23"/>
  <c r="H22"/>
  <c r="I38"/>
  <c r="H37"/>
  <c r="H27"/>
  <c r="G26"/>
  <c r="G64" s="1"/>
  <c r="J21"/>
  <c r="I20"/>
  <c r="J59" i="47"/>
  <c r="I58"/>
  <c r="J25"/>
  <c r="I24"/>
  <c r="G23"/>
  <c r="G22" s="1"/>
  <c r="H23" s="1"/>
  <c r="E22"/>
  <c r="E64" s="1"/>
  <c r="H56"/>
  <c r="K57"/>
  <c r="K56" s="1"/>
  <c r="I57"/>
  <c r="H54"/>
  <c r="K55"/>
  <c r="K54" s="1"/>
  <c r="I55"/>
  <c r="I49"/>
  <c r="J50"/>
  <c r="J33"/>
  <c r="M34"/>
  <c r="M33" s="1"/>
  <c r="H26"/>
  <c r="K27"/>
  <c r="K26" s="1"/>
  <c r="I27"/>
  <c r="I13"/>
  <c r="J14"/>
  <c r="H39"/>
  <c r="K40"/>
  <c r="K39" s="1"/>
  <c r="I40"/>
  <c r="I37"/>
  <c r="J38"/>
  <c r="I31"/>
  <c r="J32"/>
  <c r="J28"/>
  <c r="M29"/>
  <c r="M28" s="1"/>
  <c r="M44"/>
  <c r="J61"/>
  <c r="I60"/>
  <c r="J53"/>
  <c r="I52"/>
  <c r="I47"/>
  <c r="J48"/>
  <c r="J21"/>
  <c r="I20"/>
  <c r="I8"/>
  <c r="J9"/>
  <c r="G64"/>
  <c r="I47" i="48"/>
  <c r="J48"/>
  <c r="J53"/>
  <c r="I52"/>
  <c r="J28"/>
  <c r="M29"/>
  <c r="M28" s="1"/>
  <c r="K23"/>
  <c r="K22" s="1"/>
  <c r="I23"/>
  <c r="H22"/>
  <c r="I13"/>
  <c r="J14"/>
  <c r="J55"/>
  <c r="I54"/>
  <c r="H39"/>
  <c r="K40"/>
  <c r="K39" s="1"/>
  <c r="I40"/>
  <c r="I37"/>
  <c r="J38"/>
  <c r="J33"/>
  <c r="M34"/>
  <c r="M33" s="1"/>
  <c r="I31"/>
  <c r="J32"/>
  <c r="M45"/>
  <c r="M44" s="1"/>
  <c r="J61"/>
  <c r="I60"/>
  <c r="J25"/>
  <c r="I24"/>
  <c r="K50"/>
  <c r="K49" s="1"/>
  <c r="I50"/>
  <c r="H49"/>
  <c r="I8"/>
  <c r="J9"/>
  <c r="I58"/>
  <c r="H56"/>
  <c r="K57"/>
  <c r="K56" s="1"/>
  <c r="I57"/>
  <c r="H27"/>
  <c r="G26"/>
  <c r="J21"/>
  <c r="I20"/>
  <c r="M16"/>
  <c r="M15"/>
  <c r="K13"/>
  <c r="M43"/>
  <c r="G39"/>
  <c r="J29" i="49"/>
  <c r="I28"/>
  <c r="M61"/>
  <c r="M60" s="1"/>
  <c r="J60"/>
  <c r="J59"/>
  <c r="I58"/>
  <c r="H56"/>
  <c r="K57"/>
  <c r="K56" s="1"/>
  <c r="I57"/>
  <c r="K50"/>
  <c r="K49" s="1"/>
  <c r="I50"/>
  <c r="H49"/>
  <c r="H39"/>
  <c r="K40"/>
  <c r="K39" s="1"/>
  <c r="I40"/>
  <c r="I13"/>
  <c r="J14"/>
  <c r="I32"/>
  <c r="H31"/>
  <c r="H8"/>
  <c r="J25"/>
  <c r="I24"/>
  <c r="J55"/>
  <c r="I54"/>
  <c r="M53"/>
  <c r="M52" s="1"/>
  <c r="J52"/>
  <c r="I47"/>
  <c r="J48"/>
  <c r="I38"/>
  <c r="H37"/>
  <c r="H27"/>
  <c r="G26"/>
  <c r="G64" s="1"/>
  <c r="J21"/>
  <c r="I20"/>
  <c r="J33"/>
  <c r="M34"/>
  <c r="M33" s="1"/>
  <c r="K23"/>
  <c r="K22" s="1"/>
  <c r="I23"/>
  <c r="H22"/>
  <c r="I8"/>
  <c r="J9"/>
  <c r="M43"/>
  <c r="G39"/>
  <c r="J34" i="50"/>
  <c r="I33"/>
  <c r="I58"/>
  <c r="J25"/>
  <c r="I24"/>
  <c r="H56"/>
  <c r="K57"/>
  <c r="K56" s="1"/>
  <c r="I57"/>
  <c r="H54"/>
  <c r="K55"/>
  <c r="K54" s="1"/>
  <c r="I55"/>
  <c r="I49"/>
  <c r="J50"/>
  <c r="I8"/>
  <c r="J9"/>
  <c r="H39"/>
  <c r="K40"/>
  <c r="K39" s="1"/>
  <c r="I40"/>
  <c r="I37"/>
  <c r="J38"/>
  <c r="M19"/>
  <c r="M18"/>
  <c r="M17"/>
  <c r="M16"/>
  <c r="M15"/>
  <c r="K13"/>
  <c r="M44"/>
  <c r="J61"/>
  <c r="I60"/>
  <c r="J53"/>
  <c r="I52"/>
  <c r="I31"/>
  <c r="J32"/>
  <c r="J28"/>
  <c r="M29"/>
  <c r="M28" s="1"/>
  <c r="K23"/>
  <c r="K22" s="1"/>
  <c r="I23"/>
  <c r="H22"/>
  <c r="I13"/>
  <c r="J14"/>
  <c r="I47"/>
  <c r="J48"/>
  <c r="H27"/>
  <c r="G26"/>
  <c r="G64" s="1"/>
  <c r="J21"/>
  <c r="I20"/>
  <c r="G39"/>
  <c r="J61" i="51"/>
  <c r="I60"/>
  <c r="I38"/>
  <c r="H37"/>
  <c r="H27"/>
  <c r="G26"/>
  <c r="J21"/>
  <c r="I20"/>
  <c r="J55"/>
  <c r="I54"/>
  <c r="M53"/>
  <c r="M52" s="1"/>
  <c r="J52"/>
  <c r="K23"/>
  <c r="K22" s="1"/>
  <c r="I23"/>
  <c r="H22"/>
  <c r="K9"/>
  <c r="K8" s="1"/>
  <c r="I9"/>
  <c r="H8"/>
  <c r="M43"/>
  <c r="G39"/>
  <c r="I47"/>
  <c r="J48"/>
  <c r="J34"/>
  <c r="I33"/>
  <c r="J29"/>
  <c r="I28"/>
  <c r="I13"/>
  <c r="J14"/>
  <c r="J25"/>
  <c r="I24"/>
  <c r="H39"/>
  <c r="K40"/>
  <c r="K39" s="1"/>
  <c r="I40"/>
  <c r="J59"/>
  <c r="I58"/>
  <c r="H56"/>
  <c r="K57"/>
  <c r="K56" s="1"/>
  <c r="I57"/>
  <c r="K50"/>
  <c r="K49" s="1"/>
  <c r="I50"/>
  <c r="H49"/>
  <c r="I32"/>
  <c r="H31"/>
  <c r="I47" i="52"/>
  <c r="J48"/>
  <c r="H41"/>
  <c r="G39"/>
  <c r="J34"/>
  <c r="I33"/>
  <c r="J29"/>
  <c r="I28"/>
  <c r="J55"/>
  <c r="I54"/>
  <c r="K50"/>
  <c r="K49" s="1"/>
  <c r="I50"/>
  <c r="H49"/>
  <c r="I38"/>
  <c r="H37"/>
  <c r="H27"/>
  <c r="G26"/>
  <c r="J21"/>
  <c r="I20"/>
  <c r="H8"/>
  <c r="J25"/>
  <c r="I24"/>
  <c r="I58"/>
  <c r="H56"/>
  <c r="K57"/>
  <c r="K56" s="1"/>
  <c r="I57"/>
  <c r="J40"/>
  <c r="I39"/>
  <c r="I31"/>
  <c r="J32"/>
  <c r="K23"/>
  <c r="K22" s="1"/>
  <c r="I23"/>
  <c r="H22"/>
  <c r="I13"/>
  <c r="J14"/>
  <c r="M61"/>
  <c r="M60" s="1"/>
  <c r="J60"/>
  <c r="M53"/>
  <c r="M52" s="1"/>
  <c r="J52"/>
  <c r="I8"/>
  <c r="J9"/>
  <c r="M43"/>
  <c r="G64"/>
  <c r="K28" i="70"/>
  <c r="J61" i="53"/>
  <c r="I60"/>
  <c r="J53"/>
  <c r="I52"/>
  <c r="H56"/>
  <c r="K57"/>
  <c r="K56" s="1"/>
  <c r="I57"/>
  <c r="H54"/>
  <c r="K55"/>
  <c r="K54" s="1"/>
  <c r="I55"/>
  <c r="I47"/>
  <c r="J48"/>
  <c r="I32"/>
  <c r="H31"/>
  <c r="I38"/>
  <c r="H37"/>
  <c r="H27"/>
  <c r="G26"/>
  <c r="J21"/>
  <c r="I20"/>
  <c r="E15" i="6"/>
  <c r="M16" i="53"/>
  <c r="M15"/>
  <c r="K13"/>
  <c r="M43"/>
  <c r="G39"/>
  <c r="M18"/>
  <c r="H8"/>
  <c r="J34"/>
  <c r="I33"/>
  <c r="J29"/>
  <c r="I28"/>
  <c r="J59"/>
  <c r="I58"/>
  <c r="J25"/>
  <c r="I24"/>
  <c r="K50"/>
  <c r="K49" s="1"/>
  <c r="I50"/>
  <c r="H49"/>
  <c r="K23"/>
  <c r="K22" s="1"/>
  <c r="I23"/>
  <c r="H22"/>
  <c r="I13"/>
  <c r="J14"/>
  <c r="H39"/>
  <c r="K40"/>
  <c r="K39" s="1"/>
  <c r="I40"/>
  <c r="I8"/>
  <c r="J9"/>
  <c r="G64"/>
  <c r="J53" i="54"/>
  <c r="I52"/>
  <c r="K50"/>
  <c r="K49" s="1"/>
  <c r="I50"/>
  <c r="H49"/>
  <c r="J40"/>
  <c r="I39"/>
  <c r="J28"/>
  <c r="M29"/>
  <c r="M28" s="1"/>
  <c r="K23"/>
  <c r="K22" s="1"/>
  <c r="I23"/>
  <c r="H22"/>
  <c r="I13"/>
  <c r="J14"/>
  <c r="I38"/>
  <c r="H37"/>
  <c r="H27"/>
  <c r="G26"/>
  <c r="J21"/>
  <c r="I20"/>
  <c r="I47"/>
  <c r="J48"/>
  <c r="H41"/>
  <c r="G39"/>
  <c r="G64" s="1"/>
  <c r="J34"/>
  <c r="I33"/>
  <c r="J25"/>
  <c r="I24"/>
  <c r="M61"/>
  <c r="M60" s="1"/>
  <c r="J60"/>
  <c r="I58"/>
  <c r="H56"/>
  <c r="K57"/>
  <c r="K56" s="1"/>
  <c r="I57"/>
  <c r="H54"/>
  <c r="K55"/>
  <c r="K54" s="1"/>
  <c r="I55"/>
  <c r="I32"/>
  <c r="H31"/>
  <c r="I8"/>
  <c r="J9"/>
  <c r="M16"/>
  <c r="M15"/>
  <c r="K13"/>
  <c r="J59" i="55"/>
  <c r="I58"/>
  <c r="J25"/>
  <c r="I24"/>
  <c r="K50"/>
  <c r="K49" s="1"/>
  <c r="I50"/>
  <c r="H49"/>
  <c r="H39"/>
  <c r="K40"/>
  <c r="K39" s="1"/>
  <c r="I40"/>
  <c r="I37"/>
  <c r="J38"/>
  <c r="K9"/>
  <c r="K8" s="1"/>
  <c r="I9"/>
  <c r="H8"/>
  <c r="K13"/>
  <c r="M45"/>
  <c r="M44" s="1"/>
  <c r="J29"/>
  <c r="I28"/>
  <c r="J61"/>
  <c r="I60"/>
  <c r="J53"/>
  <c r="I52"/>
  <c r="J33"/>
  <c r="M34"/>
  <c r="M33" s="1"/>
  <c r="I31"/>
  <c r="J32"/>
  <c r="K23"/>
  <c r="K22" s="1"/>
  <c r="I23"/>
  <c r="H22"/>
  <c r="I13"/>
  <c r="J14"/>
  <c r="H56"/>
  <c r="K57"/>
  <c r="K56" s="1"/>
  <c r="I57"/>
  <c r="H54"/>
  <c r="K55"/>
  <c r="K54" s="1"/>
  <c r="I55"/>
  <c r="I47"/>
  <c r="J48"/>
  <c r="H27"/>
  <c r="G26"/>
  <c r="J21"/>
  <c r="I20"/>
  <c r="G64"/>
  <c r="G39"/>
  <c r="J34" i="56"/>
  <c r="I33"/>
  <c r="J29"/>
  <c r="I28"/>
  <c r="G34" i="35"/>
  <c r="I35"/>
  <c r="J61" i="56"/>
  <c r="I60"/>
  <c r="J55"/>
  <c r="I54"/>
  <c r="I38"/>
  <c r="H37"/>
  <c r="H27"/>
  <c r="G26"/>
  <c r="K50"/>
  <c r="K49" s="1"/>
  <c r="I50"/>
  <c r="H49"/>
  <c r="I32"/>
  <c r="H31"/>
  <c r="I22"/>
  <c r="J23"/>
  <c r="J14"/>
  <c r="M44"/>
  <c r="E64"/>
  <c r="I47"/>
  <c r="J48"/>
  <c r="H41"/>
  <c r="G39"/>
  <c r="G64" s="1"/>
  <c r="I47" i="35"/>
  <c r="G46"/>
  <c r="J53" i="56"/>
  <c r="I52"/>
  <c r="H56"/>
  <c r="K57"/>
  <c r="K56" s="1"/>
  <c r="I57"/>
  <c r="J40"/>
  <c r="I39"/>
  <c r="M59"/>
  <c r="M58" s="1"/>
  <c r="J58"/>
  <c r="M25"/>
  <c r="M24" s="1"/>
  <c r="J24"/>
  <c r="I15"/>
  <c r="J15" s="1"/>
  <c r="M15" s="1"/>
  <c r="K15"/>
  <c r="H9"/>
  <c r="F8"/>
  <c r="F64" s="1"/>
  <c r="K13"/>
  <c r="I47" i="57"/>
  <c r="J48"/>
  <c r="J34"/>
  <c r="I33"/>
  <c r="I13"/>
  <c r="J14"/>
  <c r="J53"/>
  <c r="I52"/>
  <c r="H39"/>
  <c r="K40"/>
  <c r="K39" s="1"/>
  <c r="I40"/>
  <c r="K9"/>
  <c r="K8" s="1"/>
  <c r="I9"/>
  <c r="H8"/>
  <c r="K50"/>
  <c r="K49" s="1"/>
  <c r="I50"/>
  <c r="H49"/>
  <c r="I32"/>
  <c r="H31"/>
  <c r="I28"/>
  <c r="J61"/>
  <c r="I60"/>
  <c r="J25"/>
  <c r="I24"/>
  <c r="I38"/>
  <c r="H37"/>
  <c r="H27"/>
  <c r="G26"/>
  <c r="J21"/>
  <c r="I20"/>
  <c r="J59"/>
  <c r="I58"/>
  <c r="H56"/>
  <c r="K57"/>
  <c r="K56" s="1"/>
  <c r="I57"/>
  <c r="H54"/>
  <c r="K55"/>
  <c r="K54" s="1"/>
  <c r="I55"/>
  <c r="J28"/>
  <c r="M29"/>
  <c r="M28" s="1"/>
  <c r="K23"/>
  <c r="K22" s="1"/>
  <c r="I23"/>
  <c r="H22"/>
  <c r="G39"/>
  <c r="M17"/>
  <c r="H41" i="58"/>
  <c r="G39"/>
  <c r="J34"/>
  <c r="I33"/>
  <c r="J53"/>
  <c r="I52"/>
  <c r="H27"/>
  <c r="G26"/>
  <c r="J21"/>
  <c r="I20"/>
  <c r="I58"/>
  <c r="H56"/>
  <c r="K57"/>
  <c r="K56" s="1"/>
  <c r="I57"/>
  <c r="H54"/>
  <c r="K55"/>
  <c r="K54" s="1"/>
  <c r="I55"/>
  <c r="I47"/>
  <c r="J48"/>
  <c r="I38"/>
  <c r="H37"/>
  <c r="H8"/>
  <c r="J61"/>
  <c r="I60"/>
  <c r="J25"/>
  <c r="I24"/>
  <c r="J40"/>
  <c r="I39"/>
  <c r="I31"/>
  <c r="J32"/>
  <c r="J28"/>
  <c r="M29"/>
  <c r="M28" s="1"/>
  <c r="I13"/>
  <c r="J14"/>
  <c r="K50"/>
  <c r="K49" s="1"/>
  <c r="I50"/>
  <c r="H49"/>
  <c r="K23"/>
  <c r="K22" s="1"/>
  <c r="I23"/>
  <c r="H22"/>
  <c r="I8"/>
  <c r="J9"/>
  <c r="M43"/>
  <c r="G64"/>
  <c r="J34" i="59"/>
  <c r="I33"/>
  <c r="J59"/>
  <c r="I58"/>
  <c r="J25"/>
  <c r="I24"/>
  <c r="I32"/>
  <c r="H31"/>
  <c r="H27"/>
  <c r="G26"/>
  <c r="J21"/>
  <c r="I20"/>
  <c r="I8"/>
  <c r="J9"/>
  <c r="K50"/>
  <c r="K49" s="1"/>
  <c r="I50"/>
  <c r="H49"/>
  <c r="H39"/>
  <c r="K40"/>
  <c r="K39" s="1"/>
  <c r="I40"/>
  <c r="J28"/>
  <c r="M29"/>
  <c r="M28" s="1"/>
  <c r="K23"/>
  <c r="K22" s="1"/>
  <c r="I23"/>
  <c r="H22"/>
  <c r="M18"/>
  <c r="K13"/>
  <c r="M45"/>
  <c r="M44" s="1"/>
  <c r="J61"/>
  <c r="I60"/>
  <c r="J53"/>
  <c r="I52"/>
  <c r="I13"/>
  <c r="J14"/>
  <c r="H56"/>
  <c r="K57"/>
  <c r="K56" s="1"/>
  <c r="I57"/>
  <c r="H54"/>
  <c r="K55"/>
  <c r="K54" s="1"/>
  <c r="I55"/>
  <c r="I47"/>
  <c r="J48"/>
  <c r="I38"/>
  <c r="H37"/>
  <c r="G64"/>
  <c r="G39"/>
  <c r="J59" i="60"/>
  <c r="I58"/>
  <c r="J25"/>
  <c r="I24"/>
  <c r="H39"/>
  <c r="K40"/>
  <c r="K39" s="1"/>
  <c r="I40"/>
  <c r="I37"/>
  <c r="J38"/>
  <c r="J28"/>
  <c r="M29"/>
  <c r="M28" s="1"/>
  <c r="K23"/>
  <c r="K22" s="1"/>
  <c r="I23"/>
  <c r="H22"/>
  <c r="I8"/>
  <c r="J9"/>
  <c r="H56"/>
  <c r="K57"/>
  <c r="K56" s="1"/>
  <c r="I57"/>
  <c r="H54"/>
  <c r="K55"/>
  <c r="K54" s="1"/>
  <c r="I55"/>
  <c r="I47"/>
  <c r="J48"/>
  <c r="H27"/>
  <c r="G26"/>
  <c r="J21"/>
  <c r="I20"/>
  <c r="K13"/>
  <c r="J34"/>
  <c r="I33"/>
  <c r="J61"/>
  <c r="I60"/>
  <c r="J53"/>
  <c r="I52"/>
  <c r="K50"/>
  <c r="K49" s="1"/>
  <c r="I50"/>
  <c r="H49"/>
  <c r="I31"/>
  <c r="J32"/>
  <c r="I13"/>
  <c r="J14"/>
  <c r="M43"/>
  <c r="G39"/>
  <c r="G64" s="1"/>
  <c r="M19"/>
  <c r="M18"/>
  <c r="J61" i="61"/>
  <c r="I60"/>
  <c r="J55"/>
  <c r="I54"/>
  <c r="M53"/>
  <c r="M52" s="1"/>
  <c r="J52"/>
  <c r="H39"/>
  <c r="K40"/>
  <c r="K39" s="1"/>
  <c r="I40"/>
  <c r="K50"/>
  <c r="K49" s="1"/>
  <c r="I50"/>
  <c r="H49"/>
  <c r="K23"/>
  <c r="K22" s="1"/>
  <c r="I23"/>
  <c r="H22"/>
  <c r="I13"/>
  <c r="J14"/>
  <c r="M45"/>
  <c r="M44" s="1"/>
  <c r="H8"/>
  <c r="J34"/>
  <c r="I33"/>
  <c r="J29"/>
  <c r="I28"/>
  <c r="J25"/>
  <c r="I24"/>
  <c r="J59"/>
  <c r="I58"/>
  <c r="H56"/>
  <c r="K57"/>
  <c r="K56" s="1"/>
  <c r="I57"/>
  <c r="I38"/>
  <c r="H37"/>
  <c r="H27"/>
  <c r="G26"/>
  <c r="J21"/>
  <c r="I20"/>
  <c r="I47"/>
  <c r="J48"/>
  <c r="I32"/>
  <c r="H31"/>
  <c r="I8"/>
  <c r="J9"/>
  <c r="G39"/>
  <c r="F20" i="70"/>
  <c r="G41" i="35"/>
  <c r="I37"/>
  <c r="G36"/>
  <c r="H17" i="70"/>
  <c r="F44" i="35"/>
  <c r="F27"/>
  <c r="M27" s="1"/>
  <c r="F32"/>
  <c r="F52"/>
  <c r="M52" s="1"/>
  <c r="G54" i="62"/>
  <c r="G22" i="6" s="1"/>
  <c r="H22" s="1"/>
  <c r="H55" i="62"/>
  <c r="H49"/>
  <c r="I50"/>
  <c r="K50"/>
  <c r="K49" s="1"/>
  <c r="K40"/>
  <c r="K39" s="1"/>
  <c r="H39"/>
  <c r="I40"/>
  <c r="J17" i="70"/>
  <c r="I38" i="62"/>
  <c r="H37"/>
  <c r="H31"/>
  <c r="I32"/>
  <c r="H29" i="35"/>
  <c r="H26" s="1"/>
  <c r="G26" i="62"/>
  <c r="G64" s="1"/>
  <c r="H27"/>
  <c r="J25"/>
  <c r="I24"/>
  <c r="I13"/>
  <c r="J14"/>
  <c r="I51" i="63"/>
  <c r="H49"/>
  <c r="I38"/>
  <c r="H37"/>
  <c r="J52" i="64"/>
  <c r="M53"/>
  <c r="M52" s="1"/>
  <c r="I58"/>
  <c r="I38"/>
  <c r="H37"/>
  <c r="G10" i="35"/>
  <c r="H44"/>
  <c r="F43"/>
  <c r="F8" i="6"/>
  <c r="J60" i="37"/>
  <c r="M61"/>
  <c r="M60" s="1"/>
  <c r="E10" i="6"/>
  <c r="D26"/>
  <c r="I30"/>
  <c r="I39" s="1"/>
  <c r="E29" s="1"/>
  <c r="E37" s="1"/>
  <c r="F24" i="70" s="1"/>
  <c r="H39" i="6"/>
  <c r="C29" s="1"/>
  <c r="G8"/>
  <c r="I26" i="64"/>
  <c r="J27"/>
  <c r="J43" i="37"/>
  <c r="I39"/>
  <c r="F45" i="35"/>
  <c r="M45" s="1"/>
  <c r="J57" i="63"/>
  <c r="I56"/>
  <c r="F28" i="35"/>
  <c r="M28" s="1"/>
  <c r="M55" i="37"/>
  <c r="M54" s="1"/>
  <c r="J54"/>
  <c r="H13" i="35"/>
  <c r="H40"/>
  <c r="H39" s="1"/>
  <c r="F17"/>
  <c r="M17" s="1"/>
  <c r="F40"/>
  <c r="M12" i="62"/>
  <c r="M8" s="1"/>
  <c r="J8"/>
  <c r="K23" i="63"/>
  <c r="K22" s="1"/>
  <c r="K64" s="1"/>
  <c r="I23"/>
  <c r="H22"/>
  <c r="H64" s="1"/>
  <c r="K23" i="64"/>
  <c r="K22" s="1"/>
  <c r="K64" s="1"/>
  <c r="H22"/>
  <c r="H64" s="1"/>
  <c r="M13"/>
  <c r="H57" i="37"/>
  <c r="G23" i="6"/>
  <c r="H23" s="1"/>
  <c r="I51" i="35"/>
  <c r="I52" i="37"/>
  <c r="F47" i="35"/>
  <c r="J53" i="37"/>
  <c r="F16" i="35"/>
  <c r="M16" s="1"/>
  <c r="J18" i="37"/>
  <c r="M18" s="1"/>
  <c r="F15" i="35"/>
  <c r="M15" s="1"/>
  <c r="J17" i="37"/>
  <c r="M17" s="1"/>
  <c r="J33"/>
  <c r="M34"/>
  <c r="M33" s="1"/>
  <c r="J32"/>
  <c r="I31"/>
  <c r="I28" i="35"/>
  <c r="G26"/>
  <c r="G24"/>
  <c r="I25"/>
  <c r="G26" i="37"/>
  <c r="G12" i="6" s="1"/>
  <c r="H12" s="1"/>
  <c r="H27" i="37"/>
  <c r="J25"/>
  <c r="I24"/>
  <c r="F23" i="35"/>
  <c r="G22"/>
  <c r="I23"/>
  <c r="I21"/>
  <c r="G20"/>
  <c r="H23" i="37"/>
  <c r="G10" i="6"/>
  <c r="H10" s="1"/>
  <c r="H19" i="35"/>
  <c r="H18" s="1"/>
  <c r="H20" i="37"/>
  <c r="I13"/>
  <c r="J15"/>
  <c r="I12"/>
  <c r="H14" i="35"/>
  <c r="H8" i="37"/>
  <c r="J19" i="70"/>
  <c r="H19"/>
  <c r="J51" i="37"/>
  <c r="M51" s="1"/>
  <c r="F38" i="35"/>
  <c r="M38" s="1"/>
  <c r="G20" i="6"/>
  <c r="G64" i="37"/>
  <c r="I50"/>
  <c r="K50"/>
  <c r="K49" s="1"/>
  <c r="H49"/>
  <c r="H37" i="35"/>
  <c r="H36" s="1"/>
  <c r="K18" i="70"/>
  <c r="K29"/>
  <c r="G24" l="1"/>
  <c r="I24"/>
  <c r="G20"/>
  <c r="I20"/>
  <c r="F46" i="35"/>
  <c r="M46" s="1"/>
  <c r="M47"/>
  <c r="F39"/>
  <c r="M39" s="1"/>
  <c r="M40"/>
  <c r="M44"/>
  <c r="F30"/>
  <c r="M30" s="1"/>
  <c r="M32"/>
  <c r="F22"/>
  <c r="M22" s="1"/>
  <c r="M23"/>
  <c r="G64" i="43"/>
  <c r="G64" i="48"/>
  <c r="J20" i="56"/>
  <c r="M21"/>
  <c r="M20" s="1"/>
  <c r="K17" i="70"/>
  <c r="E26" i="6"/>
  <c r="F15" i="70" s="1"/>
  <c r="G64" i="61"/>
  <c r="J58" i="62"/>
  <c r="M59"/>
  <c r="M58" s="1"/>
  <c r="J57"/>
  <c r="I56"/>
  <c r="J23"/>
  <c r="I22"/>
  <c r="M21"/>
  <c r="M20" s="1"/>
  <c r="J20"/>
  <c r="M14" i="69"/>
  <c r="M13" s="1"/>
  <c r="J13"/>
  <c r="I22"/>
  <c r="J23"/>
  <c r="M38"/>
  <c r="M37" s="1"/>
  <c r="J37"/>
  <c r="J40"/>
  <c r="I39"/>
  <c r="J57"/>
  <c r="I56"/>
  <c r="M59"/>
  <c r="M58" s="1"/>
  <c r="J58"/>
  <c r="J20"/>
  <c r="M21"/>
  <c r="M20" s="1"/>
  <c r="H26"/>
  <c r="H64" s="1"/>
  <c r="K27"/>
  <c r="K26" s="1"/>
  <c r="K64" s="1"/>
  <c r="I27"/>
  <c r="I31"/>
  <c r="J32"/>
  <c r="M25"/>
  <c r="M24" s="1"/>
  <c r="J24"/>
  <c r="M61"/>
  <c r="M60" s="1"/>
  <c r="J60"/>
  <c r="I49"/>
  <c r="J50"/>
  <c r="M9"/>
  <c r="M8" s="1"/>
  <c r="J8"/>
  <c r="J55"/>
  <c r="I54"/>
  <c r="M48"/>
  <c r="M47" s="1"/>
  <c r="J47"/>
  <c r="J20" i="68"/>
  <c r="M21"/>
  <c r="M20" s="1"/>
  <c r="H26"/>
  <c r="K27"/>
  <c r="K26" s="1"/>
  <c r="I27"/>
  <c r="I37"/>
  <c r="J38"/>
  <c r="I8"/>
  <c r="J9"/>
  <c r="M14"/>
  <c r="M13" s="1"/>
  <c r="J13"/>
  <c r="J57"/>
  <c r="I56"/>
  <c r="I22"/>
  <c r="J23"/>
  <c r="M25"/>
  <c r="M24" s="1"/>
  <c r="J24"/>
  <c r="M61"/>
  <c r="M60" s="1"/>
  <c r="J60"/>
  <c r="J28"/>
  <c r="M29"/>
  <c r="M28" s="1"/>
  <c r="J33"/>
  <c r="M34"/>
  <c r="M33" s="1"/>
  <c r="K41"/>
  <c r="H39"/>
  <c r="I31"/>
  <c r="J32"/>
  <c r="M59"/>
  <c r="M58" s="1"/>
  <c r="J58"/>
  <c r="J55"/>
  <c r="I54"/>
  <c r="M40"/>
  <c r="J39"/>
  <c r="I49"/>
  <c r="J50"/>
  <c r="M48"/>
  <c r="M47" s="1"/>
  <c r="J47"/>
  <c r="H64"/>
  <c r="I22" i="1"/>
  <c r="J23"/>
  <c r="I31"/>
  <c r="J32"/>
  <c r="J57"/>
  <c r="I56"/>
  <c r="J20"/>
  <c r="M21"/>
  <c r="M20" s="1"/>
  <c r="H26"/>
  <c r="K27"/>
  <c r="K26" s="1"/>
  <c r="K64" s="1"/>
  <c r="I27"/>
  <c r="M53"/>
  <c r="M52" s="1"/>
  <c r="J52"/>
  <c r="M61"/>
  <c r="M60" s="1"/>
  <c r="J60"/>
  <c r="J33"/>
  <c r="M34"/>
  <c r="M33" s="1"/>
  <c r="M9"/>
  <c r="M8" s="1"/>
  <c r="J8"/>
  <c r="I49"/>
  <c r="J50"/>
  <c r="M14"/>
  <c r="M13" s="1"/>
  <c r="J13"/>
  <c r="M38"/>
  <c r="M37" s="1"/>
  <c r="J37"/>
  <c r="J40"/>
  <c r="I39"/>
  <c r="M25"/>
  <c r="M24" s="1"/>
  <c r="J24"/>
  <c r="M59"/>
  <c r="M58" s="1"/>
  <c r="J58"/>
  <c r="M48"/>
  <c r="M47" s="1"/>
  <c r="J47"/>
  <c r="J55"/>
  <c r="I54"/>
  <c r="H64"/>
  <c r="M14" i="38"/>
  <c r="M13" s="1"/>
  <c r="J13"/>
  <c r="M40"/>
  <c r="J39"/>
  <c r="I49"/>
  <c r="J50"/>
  <c r="J57"/>
  <c r="I56"/>
  <c r="M25"/>
  <c r="M24" s="1"/>
  <c r="J24"/>
  <c r="M61"/>
  <c r="M60" s="1"/>
  <c r="J60"/>
  <c r="K41"/>
  <c r="H39"/>
  <c r="J20"/>
  <c r="M21"/>
  <c r="M20" s="1"/>
  <c r="H26"/>
  <c r="K27"/>
  <c r="K26" s="1"/>
  <c r="I27"/>
  <c r="I37"/>
  <c r="J38"/>
  <c r="I22"/>
  <c r="J23"/>
  <c r="M32"/>
  <c r="M31" s="1"/>
  <c r="J31"/>
  <c r="M59"/>
  <c r="M58" s="1"/>
  <c r="J58"/>
  <c r="I8"/>
  <c r="J9"/>
  <c r="J55"/>
  <c r="I54"/>
  <c r="M48"/>
  <c r="M47" s="1"/>
  <c r="J47"/>
  <c r="M14" i="39"/>
  <c r="M13" s="1"/>
  <c r="J13"/>
  <c r="J20"/>
  <c r="M21"/>
  <c r="M20" s="1"/>
  <c r="H26"/>
  <c r="H64" s="1"/>
  <c r="K27"/>
  <c r="K26" s="1"/>
  <c r="K64" s="1"/>
  <c r="I27"/>
  <c r="M48"/>
  <c r="M47" s="1"/>
  <c r="J47"/>
  <c r="I31"/>
  <c r="J32"/>
  <c r="I49"/>
  <c r="J50"/>
  <c r="M9"/>
  <c r="M8" s="1"/>
  <c r="J8"/>
  <c r="M38"/>
  <c r="M37" s="1"/>
  <c r="J37"/>
  <c r="J40"/>
  <c r="I39"/>
  <c r="M55"/>
  <c r="M54" s="1"/>
  <c r="J54"/>
  <c r="M25"/>
  <c r="M24" s="1"/>
  <c r="J24"/>
  <c r="M61"/>
  <c r="M60" s="1"/>
  <c r="J60"/>
  <c r="I22"/>
  <c r="J23"/>
  <c r="J57"/>
  <c r="I56"/>
  <c r="M59"/>
  <c r="M58" s="1"/>
  <c r="J58"/>
  <c r="J20" i="40"/>
  <c r="M21"/>
  <c r="M20" s="1"/>
  <c r="H26"/>
  <c r="K27"/>
  <c r="K26" s="1"/>
  <c r="I27"/>
  <c r="I37"/>
  <c r="J38"/>
  <c r="M25"/>
  <c r="M24" s="1"/>
  <c r="J24"/>
  <c r="M40"/>
  <c r="J39"/>
  <c r="I49"/>
  <c r="J50"/>
  <c r="M48"/>
  <c r="M47" s="1"/>
  <c r="J47"/>
  <c r="J57"/>
  <c r="I56"/>
  <c r="M59"/>
  <c r="M58" s="1"/>
  <c r="J58"/>
  <c r="I22"/>
  <c r="J23"/>
  <c r="M32"/>
  <c r="M31" s="1"/>
  <c r="J31"/>
  <c r="M61"/>
  <c r="M60" s="1"/>
  <c r="J60"/>
  <c r="J28"/>
  <c r="M29"/>
  <c r="M28" s="1"/>
  <c r="J33"/>
  <c r="M34"/>
  <c r="M33" s="1"/>
  <c r="K41"/>
  <c r="H39"/>
  <c r="H64" s="1"/>
  <c r="M55"/>
  <c r="M54" s="1"/>
  <c r="J54"/>
  <c r="I8"/>
  <c r="J9"/>
  <c r="M14"/>
  <c r="M13" s="1"/>
  <c r="J13"/>
  <c r="J20" i="41"/>
  <c r="M21"/>
  <c r="M20" s="1"/>
  <c r="H26"/>
  <c r="K27"/>
  <c r="K26" s="1"/>
  <c r="I27"/>
  <c r="I37"/>
  <c r="J38"/>
  <c r="I22"/>
  <c r="J23"/>
  <c r="M53"/>
  <c r="M52" s="1"/>
  <c r="J52"/>
  <c r="I31"/>
  <c r="J32"/>
  <c r="J57"/>
  <c r="I56"/>
  <c r="M59"/>
  <c r="M58" s="1"/>
  <c r="J58"/>
  <c r="M25"/>
  <c r="M24" s="1"/>
  <c r="J24"/>
  <c r="M61"/>
  <c r="M60" s="1"/>
  <c r="J60"/>
  <c r="J33"/>
  <c r="M34"/>
  <c r="M33" s="1"/>
  <c r="K41"/>
  <c r="H39"/>
  <c r="M14"/>
  <c r="M13" s="1"/>
  <c r="J13"/>
  <c r="M40"/>
  <c r="J39"/>
  <c r="I49"/>
  <c r="J50"/>
  <c r="M9"/>
  <c r="M8" s="1"/>
  <c r="J8"/>
  <c r="J55"/>
  <c r="I54"/>
  <c r="M48"/>
  <c r="M47" s="1"/>
  <c r="J47"/>
  <c r="M14" i="42"/>
  <c r="M13" s="1"/>
  <c r="J13"/>
  <c r="M55"/>
  <c r="M54" s="1"/>
  <c r="J54"/>
  <c r="J20"/>
  <c r="M21"/>
  <c r="M20" s="1"/>
  <c r="H26"/>
  <c r="H64" s="1"/>
  <c r="K27"/>
  <c r="K26" s="1"/>
  <c r="K64" s="1"/>
  <c r="I27"/>
  <c r="I49"/>
  <c r="J50"/>
  <c r="M48"/>
  <c r="M47" s="1"/>
  <c r="J47"/>
  <c r="M9"/>
  <c r="M8" s="1"/>
  <c r="J8"/>
  <c r="M38"/>
  <c r="M37" s="1"/>
  <c r="J37"/>
  <c r="J40"/>
  <c r="I39"/>
  <c r="I22"/>
  <c r="J23"/>
  <c r="M32"/>
  <c r="M31" s="1"/>
  <c r="J31"/>
  <c r="M25"/>
  <c r="M24" s="1"/>
  <c r="J24"/>
  <c r="J57"/>
  <c r="I56"/>
  <c r="M59"/>
  <c r="M58" s="1"/>
  <c r="J58"/>
  <c r="M9" i="43"/>
  <c r="M8" s="1"/>
  <c r="J8"/>
  <c r="J57"/>
  <c r="I56"/>
  <c r="M59"/>
  <c r="M58" s="1"/>
  <c r="J58"/>
  <c r="M25"/>
  <c r="M24" s="1"/>
  <c r="J24"/>
  <c r="I22"/>
  <c r="J23"/>
  <c r="J40"/>
  <c r="I39"/>
  <c r="M55"/>
  <c r="M54" s="1"/>
  <c r="J54"/>
  <c r="J33"/>
  <c r="M34"/>
  <c r="M33" s="1"/>
  <c r="I37"/>
  <c r="J38"/>
  <c r="J20"/>
  <c r="M21"/>
  <c r="M20" s="1"/>
  <c r="H26"/>
  <c r="H64" s="1"/>
  <c r="K27"/>
  <c r="K26" s="1"/>
  <c r="K64" s="1"/>
  <c r="I27"/>
  <c r="I31"/>
  <c r="J32"/>
  <c r="I49"/>
  <c r="J50"/>
  <c r="M14"/>
  <c r="M13" s="1"/>
  <c r="J13"/>
  <c r="M48"/>
  <c r="M47" s="1"/>
  <c r="J47"/>
  <c r="J57" i="44"/>
  <c r="I56"/>
  <c r="M59"/>
  <c r="M58" s="1"/>
  <c r="J58"/>
  <c r="I49"/>
  <c r="J50"/>
  <c r="J20"/>
  <c r="M21"/>
  <c r="M20" s="1"/>
  <c r="H26"/>
  <c r="H64" s="1"/>
  <c r="K27"/>
  <c r="K26" s="1"/>
  <c r="K64" s="1"/>
  <c r="I27"/>
  <c r="I22"/>
  <c r="J23"/>
  <c r="M32"/>
  <c r="M31" s="1"/>
  <c r="J31"/>
  <c r="M38"/>
  <c r="M37" s="1"/>
  <c r="J37"/>
  <c r="J40"/>
  <c r="I39"/>
  <c r="M61"/>
  <c r="M60" s="1"/>
  <c r="J60"/>
  <c r="M14"/>
  <c r="M13" s="1"/>
  <c r="J13"/>
  <c r="J55"/>
  <c r="I54"/>
  <c r="M25"/>
  <c r="M24" s="1"/>
  <c r="J24"/>
  <c r="M9"/>
  <c r="M8" s="1"/>
  <c r="J8"/>
  <c r="M48"/>
  <c r="M47" s="1"/>
  <c r="J47"/>
  <c r="M55" i="45"/>
  <c r="M54" s="1"/>
  <c r="J54"/>
  <c r="J57"/>
  <c r="I56"/>
  <c r="M59"/>
  <c r="M58" s="1"/>
  <c r="J58"/>
  <c r="I22"/>
  <c r="J23"/>
  <c r="M32"/>
  <c r="M31" s="1"/>
  <c r="J31"/>
  <c r="M25"/>
  <c r="M24" s="1"/>
  <c r="J24"/>
  <c r="J33"/>
  <c r="M34"/>
  <c r="M33" s="1"/>
  <c r="K41"/>
  <c r="H39"/>
  <c r="M14"/>
  <c r="M13" s="1"/>
  <c r="J13"/>
  <c r="J20"/>
  <c r="M21"/>
  <c r="M20" s="1"/>
  <c r="H26"/>
  <c r="H64" s="1"/>
  <c r="K27"/>
  <c r="K26" s="1"/>
  <c r="I27"/>
  <c r="I37"/>
  <c r="J38"/>
  <c r="M9"/>
  <c r="M8" s="1"/>
  <c r="J8"/>
  <c r="M40"/>
  <c r="J39"/>
  <c r="I49"/>
  <c r="J50"/>
  <c r="M48"/>
  <c r="M47" s="1"/>
  <c r="J47"/>
  <c r="M40" i="46"/>
  <c r="J39"/>
  <c r="I49"/>
  <c r="J50"/>
  <c r="M48"/>
  <c r="M47" s="1"/>
  <c r="J47"/>
  <c r="J57"/>
  <c r="I56"/>
  <c r="I31"/>
  <c r="J32"/>
  <c r="M59"/>
  <c r="M58" s="1"/>
  <c r="J58"/>
  <c r="J20"/>
  <c r="M21"/>
  <c r="M20" s="1"/>
  <c r="H26"/>
  <c r="K27"/>
  <c r="K26" s="1"/>
  <c r="I27"/>
  <c r="I37"/>
  <c r="J38"/>
  <c r="I22"/>
  <c r="J23"/>
  <c r="M25"/>
  <c r="M24" s="1"/>
  <c r="J24"/>
  <c r="M61"/>
  <c r="M60" s="1"/>
  <c r="J60"/>
  <c r="J28"/>
  <c r="M29"/>
  <c r="M28" s="1"/>
  <c r="J33"/>
  <c r="M34"/>
  <c r="M33" s="1"/>
  <c r="I15" i="6" s="1"/>
  <c r="K41" i="46"/>
  <c r="H39"/>
  <c r="I8"/>
  <c r="J9"/>
  <c r="J55"/>
  <c r="I54"/>
  <c r="M14"/>
  <c r="M13" s="1"/>
  <c r="J13"/>
  <c r="M9" i="47"/>
  <c r="M8" s="1"/>
  <c r="J8"/>
  <c r="M48"/>
  <c r="M47" s="1"/>
  <c r="J47"/>
  <c r="M14"/>
  <c r="M13" s="1"/>
  <c r="J13"/>
  <c r="J27"/>
  <c r="I26"/>
  <c r="J57"/>
  <c r="I56"/>
  <c r="K23"/>
  <c r="K22" s="1"/>
  <c r="K64" s="1"/>
  <c r="I23"/>
  <c r="H22"/>
  <c r="H64" s="1"/>
  <c r="M25"/>
  <c r="M24" s="1"/>
  <c r="J24"/>
  <c r="M59"/>
  <c r="M58" s="1"/>
  <c r="J58"/>
  <c r="J20"/>
  <c r="M21"/>
  <c r="M20" s="1"/>
  <c r="M53"/>
  <c r="M52" s="1"/>
  <c r="J52"/>
  <c r="M61"/>
  <c r="M60" s="1"/>
  <c r="J60"/>
  <c r="M32"/>
  <c r="M31" s="1"/>
  <c r="J31"/>
  <c r="M38"/>
  <c r="M37" s="1"/>
  <c r="J37"/>
  <c r="J40"/>
  <c r="I39"/>
  <c r="M50"/>
  <c r="M49" s="1"/>
  <c r="J49"/>
  <c r="J55"/>
  <c r="I54"/>
  <c r="J20" i="48"/>
  <c r="M21"/>
  <c r="M20" s="1"/>
  <c r="H26"/>
  <c r="H64" s="1"/>
  <c r="K27"/>
  <c r="K26" s="1"/>
  <c r="K64" s="1"/>
  <c r="I27"/>
  <c r="M9"/>
  <c r="M8" s="1"/>
  <c r="J8"/>
  <c r="M25"/>
  <c r="M24" s="1"/>
  <c r="J24"/>
  <c r="M61"/>
  <c r="M60" s="1"/>
  <c r="J60"/>
  <c r="M14"/>
  <c r="M13" s="1"/>
  <c r="J13"/>
  <c r="M53"/>
  <c r="M52" s="1"/>
  <c r="J52"/>
  <c r="J57"/>
  <c r="I56"/>
  <c r="M59"/>
  <c r="M58" s="1"/>
  <c r="J58"/>
  <c r="I49"/>
  <c r="J50"/>
  <c r="M32"/>
  <c r="M31" s="1"/>
  <c r="J31"/>
  <c r="M38"/>
  <c r="M37" s="1"/>
  <c r="J37"/>
  <c r="J40"/>
  <c r="I39"/>
  <c r="M55"/>
  <c r="M54" s="1"/>
  <c r="J54"/>
  <c r="I22"/>
  <c r="J23"/>
  <c r="M48"/>
  <c r="M47" s="1"/>
  <c r="J47"/>
  <c r="M9" i="49"/>
  <c r="M8" s="1"/>
  <c r="J8"/>
  <c r="J20"/>
  <c r="M21"/>
  <c r="M20" s="1"/>
  <c r="H26"/>
  <c r="K27"/>
  <c r="K26" s="1"/>
  <c r="K64" s="1"/>
  <c r="I27"/>
  <c r="I37"/>
  <c r="J38"/>
  <c r="M55"/>
  <c r="M54" s="1"/>
  <c r="J54"/>
  <c r="M25"/>
  <c r="M24" s="1"/>
  <c r="J24"/>
  <c r="M14"/>
  <c r="M13" s="1"/>
  <c r="J13"/>
  <c r="J40"/>
  <c r="I39"/>
  <c r="I49"/>
  <c r="J50"/>
  <c r="J57"/>
  <c r="I56"/>
  <c r="M59"/>
  <c r="M58" s="1"/>
  <c r="J58"/>
  <c r="J28"/>
  <c r="M29"/>
  <c r="M28" s="1"/>
  <c r="H64"/>
  <c r="I22"/>
  <c r="J23"/>
  <c r="M48"/>
  <c r="M47" s="1"/>
  <c r="J47"/>
  <c r="I31"/>
  <c r="J32"/>
  <c r="M48" i="50"/>
  <c r="M47" s="1"/>
  <c r="J47"/>
  <c r="M14"/>
  <c r="M13" s="1"/>
  <c r="J13"/>
  <c r="M53"/>
  <c r="M52" s="1"/>
  <c r="J52"/>
  <c r="M61"/>
  <c r="M60" s="1"/>
  <c r="J60"/>
  <c r="M38"/>
  <c r="M37" s="1"/>
  <c r="J37"/>
  <c r="J40"/>
  <c r="I39"/>
  <c r="J57"/>
  <c r="I56"/>
  <c r="M25"/>
  <c r="M24" s="1"/>
  <c r="J24"/>
  <c r="M59"/>
  <c r="M58" s="1"/>
  <c r="J58"/>
  <c r="J33"/>
  <c r="M34"/>
  <c r="M33" s="1"/>
  <c r="J20"/>
  <c r="M21"/>
  <c r="M20" s="1"/>
  <c r="H26"/>
  <c r="H64" s="1"/>
  <c r="K27"/>
  <c r="K26" s="1"/>
  <c r="K64" s="1"/>
  <c r="I27"/>
  <c r="I22"/>
  <c r="J23"/>
  <c r="M32"/>
  <c r="M31" s="1"/>
  <c r="J31"/>
  <c r="M9"/>
  <c r="M8" s="1"/>
  <c r="J8"/>
  <c r="M50"/>
  <c r="M49" s="1"/>
  <c r="J49"/>
  <c r="J55"/>
  <c r="I54"/>
  <c r="J40" i="51"/>
  <c r="I39"/>
  <c r="M25"/>
  <c r="M24" s="1"/>
  <c r="J24"/>
  <c r="J28"/>
  <c r="M29"/>
  <c r="M28" s="1"/>
  <c r="J33"/>
  <c r="M34"/>
  <c r="M33" s="1"/>
  <c r="I8"/>
  <c r="J9"/>
  <c r="M55"/>
  <c r="M54" s="1"/>
  <c r="J54"/>
  <c r="J20"/>
  <c r="M21"/>
  <c r="M20" s="1"/>
  <c r="H26"/>
  <c r="K27"/>
  <c r="K26" s="1"/>
  <c r="I27"/>
  <c r="I37"/>
  <c r="J38"/>
  <c r="M61"/>
  <c r="M60" s="1"/>
  <c r="J60"/>
  <c r="I31"/>
  <c r="J32"/>
  <c r="I49"/>
  <c r="J50"/>
  <c r="J57"/>
  <c r="I56"/>
  <c r="M59"/>
  <c r="M58" s="1"/>
  <c r="J58"/>
  <c r="M14"/>
  <c r="M13" s="1"/>
  <c r="J13"/>
  <c r="M48"/>
  <c r="M47" s="1"/>
  <c r="J47"/>
  <c r="I22"/>
  <c r="J23"/>
  <c r="H64"/>
  <c r="K64"/>
  <c r="G64"/>
  <c r="I22" i="52"/>
  <c r="J23"/>
  <c r="M32"/>
  <c r="M31" s="1"/>
  <c r="J31"/>
  <c r="J57"/>
  <c r="I56"/>
  <c r="M59"/>
  <c r="M58" s="1"/>
  <c r="J58"/>
  <c r="M25"/>
  <c r="M24" s="1"/>
  <c r="J24"/>
  <c r="M55"/>
  <c r="M54" s="1"/>
  <c r="J54"/>
  <c r="J28"/>
  <c r="M29"/>
  <c r="M28" s="1"/>
  <c r="J33"/>
  <c r="M34"/>
  <c r="M33" s="1"/>
  <c r="K41"/>
  <c r="H39"/>
  <c r="M9"/>
  <c r="M8" s="1"/>
  <c r="J8"/>
  <c r="M14"/>
  <c r="M13" s="1"/>
  <c r="J13"/>
  <c r="M40"/>
  <c r="J39"/>
  <c r="J20"/>
  <c r="M21"/>
  <c r="M20" s="1"/>
  <c r="H26"/>
  <c r="H64" s="1"/>
  <c r="K27"/>
  <c r="K26" s="1"/>
  <c r="I27"/>
  <c r="I37"/>
  <c r="J38"/>
  <c r="I49"/>
  <c r="J50"/>
  <c r="M48"/>
  <c r="M47" s="1"/>
  <c r="J47"/>
  <c r="M9" i="53"/>
  <c r="M8" s="1"/>
  <c r="J8"/>
  <c r="J40"/>
  <c r="I39"/>
  <c r="I22"/>
  <c r="J23"/>
  <c r="M25"/>
  <c r="M24" s="1"/>
  <c r="J24"/>
  <c r="M59"/>
  <c r="M58" s="1"/>
  <c r="J58"/>
  <c r="J28"/>
  <c r="M29"/>
  <c r="M28" s="1"/>
  <c r="J33"/>
  <c r="M34"/>
  <c r="M33" s="1"/>
  <c r="J20"/>
  <c r="M21"/>
  <c r="M20" s="1"/>
  <c r="H26"/>
  <c r="K27"/>
  <c r="K26" s="1"/>
  <c r="K64" s="1"/>
  <c r="I27"/>
  <c r="I37"/>
  <c r="J38"/>
  <c r="I31"/>
  <c r="J32"/>
  <c r="J57"/>
  <c r="I56"/>
  <c r="M53"/>
  <c r="M52" s="1"/>
  <c r="J52"/>
  <c r="M61"/>
  <c r="M60" s="1"/>
  <c r="J60"/>
  <c r="H64"/>
  <c r="M14"/>
  <c r="M13" s="1"/>
  <c r="J13"/>
  <c r="I49"/>
  <c r="J50"/>
  <c r="M48"/>
  <c r="M47" s="1"/>
  <c r="J47"/>
  <c r="J55"/>
  <c r="I54"/>
  <c r="M9" i="54"/>
  <c r="M8" s="1"/>
  <c r="J8"/>
  <c r="J55"/>
  <c r="I54"/>
  <c r="M48"/>
  <c r="M47" s="1"/>
  <c r="J47"/>
  <c r="J20"/>
  <c r="M21"/>
  <c r="M20" s="1"/>
  <c r="H26"/>
  <c r="K27"/>
  <c r="K26" s="1"/>
  <c r="I27"/>
  <c r="I37"/>
  <c r="J38"/>
  <c r="I22"/>
  <c r="J23"/>
  <c r="M53"/>
  <c r="M52" s="1"/>
  <c r="J52"/>
  <c r="I31"/>
  <c r="J32"/>
  <c r="J57"/>
  <c r="I56"/>
  <c r="M59"/>
  <c r="M58" s="1"/>
  <c r="J58"/>
  <c r="M25"/>
  <c r="M24" s="1"/>
  <c r="J24"/>
  <c r="J33"/>
  <c r="M34"/>
  <c r="M33" s="1"/>
  <c r="K41"/>
  <c r="H39"/>
  <c r="M14"/>
  <c r="M13" s="1"/>
  <c r="J13"/>
  <c r="M40"/>
  <c r="J39"/>
  <c r="I49"/>
  <c r="J50"/>
  <c r="J20" i="55"/>
  <c r="M21"/>
  <c r="M20" s="1"/>
  <c r="H26"/>
  <c r="K27"/>
  <c r="K26" s="1"/>
  <c r="I27"/>
  <c r="J57"/>
  <c r="I56"/>
  <c r="I22"/>
  <c r="J23"/>
  <c r="M32"/>
  <c r="M31" s="1"/>
  <c r="J31"/>
  <c r="M25"/>
  <c r="M24" s="1"/>
  <c r="J24"/>
  <c r="M59"/>
  <c r="M58" s="1"/>
  <c r="J58"/>
  <c r="H64"/>
  <c r="K64"/>
  <c r="M48"/>
  <c r="M47" s="1"/>
  <c r="J47"/>
  <c r="J55"/>
  <c r="I54"/>
  <c r="M14"/>
  <c r="M13" s="1"/>
  <c r="J13"/>
  <c r="M53"/>
  <c r="M52" s="1"/>
  <c r="J52"/>
  <c r="M61"/>
  <c r="M60" s="1"/>
  <c r="J60"/>
  <c r="J28"/>
  <c r="M29"/>
  <c r="M28" s="1"/>
  <c r="I8"/>
  <c r="J9"/>
  <c r="M38"/>
  <c r="M37" s="1"/>
  <c r="J37"/>
  <c r="J40"/>
  <c r="I39"/>
  <c r="I49"/>
  <c r="J50"/>
  <c r="K9" i="56"/>
  <c r="K8" s="1"/>
  <c r="I9"/>
  <c r="H8"/>
  <c r="M40"/>
  <c r="J39"/>
  <c r="M48"/>
  <c r="M47" s="1"/>
  <c r="J47"/>
  <c r="M14"/>
  <c r="M13" s="1"/>
  <c r="J13"/>
  <c r="M23"/>
  <c r="M22" s="1"/>
  <c r="J22"/>
  <c r="H26"/>
  <c r="K27"/>
  <c r="K26" s="1"/>
  <c r="I27"/>
  <c r="I37"/>
  <c r="J38"/>
  <c r="M55"/>
  <c r="M54" s="1"/>
  <c r="J54"/>
  <c r="M61"/>
  <c r="M60" s="1"/>
  <c r="J60"/>
  <c r="J28"/>
  <c r="M29"/>
  <c r="M28" s="1"/>
  <c r="J33"/>
  <c r="M34"/>
  <c r="M33" s="1"/>
  <c r="J57"/>
  <c r="I56"/>
  <c r="M53"/>
  <c r="M52" s="1"/>
  <c r="J52"/>
  <c r="K41"/>
  <c r="H39"/>
  <c r="I31"/>
  <c r="J32"/>
  <c r="I49"/>
  <c r="J50"/>
  <c r="I13"/>
  <c r="J57" i="57"/>
  <c r="I56"/>
  <c r="M59"/>
  <c r="M58" s="1"/>
  <c r="J58"/>
  <c r="J20"/>
  <c r="M21"/>
  <c r="M20" s="1"/>
  <c r="H26"/>
  <c r="K27"/>
  <c r="K26" s="1"/>
  <c r="I27"/>
  <c r="I37"/>
  <c r="J38"/>
  <c r="M25"/>
  <c r="M24" s="1"/>
  <c r="J24"/>
  <c r="M61"/>
  <c r="M60" s="1"/>
  <c r="J60"/>
  <c r="I8"/>
  <c r="J9"/>
  <c r="J40"/>
  <c r="I39"/>
  <c r="M53"/>
  <c r="M52" s="1"/>
  <c r="J52"/>
  <c r="J33"/>
  <c r="M34"/>
  <c r="M33" s="1"/>
  <c r="I22"/>
  <c r="J23"/>
  <c r="J55"/>
  <c r="I54"/>
  <c r="I31"/>
  <c r="J32"/>
  <c r="I49"/>
  <c r="J50"/>
  <c r="M14"/>
  <c r="M13" s="1"/>
  <c r="J13"/>
  <c r="M48"/>
  <c r="M47" s="1"/>
  <c r="J47"/>
  <c r="G64"/>
  <c r="H64"/>
  <c r="K64"/>
  <c r="M9" i="58"/>
  <c r="M8" s="1"/>
  <c r="J8"/>
  <c r="I49"/>
  <c r="J50"/>
  <c r="M14"/>
  <c r="M13" s="1"/>
  <c r="J13"/>
  <c r="M32"/>
  <c r="M31" s="1"/>
  <c r="J31"/>
  <c r="I37"/>
  <c r="J38"/>
  <c r="J57"/>
  <c r="I56"/>
  <c r="M59"/>
  <c r="M58" s="1"/>
  <c r="J58"/>
  <c r="J20"/>
  <c r="M21"/>
  <c r="M20" s="1"/>
  <c r="H26"/>
  <c r="K27"/>
  <c r="K26" s="1"/>
  <c r="I27"/>
  <c r="M53"/>
  <c r="M52" s="1"/>
  <c r="J52"/>
  <c r="J33"/>
  <c r="M34"/>
  <c r="M33" s="1"/>
  <c r="K41"/>
  <c r="H39"/>
  <c r="I22"/>
  <c r="J23"/>
  <c r="M40"/>
  <c r="J39"/>
  <c r="M25"/>
  <c r="M24" s="1"/>
  <c r="J24"/>
  <c r="M61"/>
  <c r="M60" s="1"/>
  <c r="J60"/>
  <c r="M48"/>
  <c r="M47" s="1"/>
  <c r="J47"/>
  <c r="J55"/>
  <c r="I54"/>
  <c r="H64"/>
  <c r="I37" i="59"/>
  <c r="J38"/>
  <c r="J57"/>
  <c r="I56"/>
  <c r="M53"/>
  <c r="M52" s="1"/>
  <c r="J52"/>
  <c r="M61"/>
  <c r="M60" s="1"/>
  <c r="J60"/>
  <c r="J20"/>
  <c r="M21"/>
  <c r="M20" s="1"/>
  <c r="H26"/>
  <c r="H64" s="1"/>
  <c r="K27"/>
  <c r="K26" s="1"/>
  <c r="K64" s="1"/>
  <c r="I27"/>
  <c r="I31"/>
  <c r="J32"/>
  <c r="M25"/>
  <c r="M24" s="1"/>
  <c r="J24"/>
  <c r="M59"/>
  <c r="M58" s="1"/>
  <c r="J58"/>
  <c r="J33"/>
  <c r="M34"/>
  <c r="M33" s="1"/>
  <c r="M48"/>
  <c r="M47" s="1"/>
  <c r="J47"/>
  <c r="J55"/>
  <c r="I54"/>
  <c r="M14"/>
  <c r="M13" s="1"/>
  <c r="J13"/>
  <c r="I22"/>
  <c r="J23"/>
  <c r="J40"/>
  <c r="I39"/>
  <c r="I49"/>
  <c r="J50"/>
  <c r="M9"/>
  <c r="M8" s="1"/>
  <c r="J8"/>
  <c r="I49" i="60"/>
  <c r="J50"/>
  <c r="J20"/>
  <c r="M21"/>
  <c r="M20" s="1"/>
  <c r="H26"/>
  <c r="H64" s="1"/>
  <c r="K27"/>
  <c r="K26" s="1"/>
  <c r="K64" s="1"/>
  <c r="I27"/>
  <c r="J57"/>
  <c r="I56"/>
  <c r="I22"/>
  <c r="J23"/>
  <c r="M38"/>
  <c r="M37" s="1"/>
  <c r="J37"/>
  <c r="J40"/>
  <c r="I39"/>
  <c r="M25"/>
  <c r="M24" s="1"/>
  <c r="J24"/>
  <c r="M59"/>
  <c r="M58" s="1"/>
  <c r="J58"/>
  <c r="M14"/>
  <c r="M13" s="1"/>
  <c r="J13"/>
  <c r="M32"/>
  <c r="M31" s="1"/>
  <c r="J31"/>
  <c r="M53"/>
  <c r="M52" s="1"/>
  <c r="J52"/>
  <c r="M61"/>
  <c r="M60" s="1"/>
  <c r="J60"/>
  <c r="J33"/>
  <c r="M34"/>
  <c r="M33" s="1"/>
  <c r="M48"/>
  <c r="M47" s="1"/>
  <c r="J47"/>
  <c r="J55"/>
  <c r="I54"/>
  <c r="M9"/>
  <c r="M8" s="1"/>
  <c r="J8"/>
  <c r="I31" i="61"/>
  <c r="J32"/>
  <c r="J20"/>
  <c r="M21"/>
  <c r="M20" s="1"/>
  <c r="H26"/>
  <c r="K27"/>
  <c r="K26" s="1"/>
  <c r="K64" s="1"/>
  <c r="I27"/>
  <c r="I37"/>
  <c r="J38"/>
  <c r="M14"/>
  <c r="M13" s="1"/>
  <c r="J13"/>
  <c r="I49"/>
  <c r="J50"/>
  <c r="J40"/>
  <c r="I39"/>
  <c r="M55"/>
  <c r="M54" s="1"/>
  <c r="J54"/>
  <c r="M61"/>
  <c r="M60" s="1"/>
  <c r="J60"/>
  <c r="M9"/>
  <c r="M8" s="1"/>
  <c r="J8"/>
  <c r="M48"/>
  <c r="M47" s="1"/>
  <c r="J47"/>
  <c r="J57"/>
  <c r="I56"/>
  <c r="M59"/>
  <c r="M58" s="1"/>
  <c r="J58"/>
  <c r="M25"/>
  <c r="M24" s="1"/>
  <c r="J24"/>
  <c r="J28"/>
  <c r="M29"/>
  <c r="M28" s="1"/>
  <c r="J33"/>
  <c r="M34"/>
  <c r="M33" s="1"/>
  <c r="I22"/>
  <c r="J23"/>
  <c r="H64"/>
  <c r="J20" i="70"/>
  <c r="H20"/>
  <c r="H43" i="35"/>
  <c r="M43" s="1"/>
  <c r="K55" i="62"/>
  <c r="K54" s="1"/>
  <c r="H49" i="35"/>
  <c r="H48" s="1"/>
  <c r="I55" i="62"/>
  <c r="H54"/>
  <c r="J50"/>
  <c r="I49"/>
  <c r="J40"/>
  <c r="I39"/>
  <c r="J38"/>
  <c r="I37"/>
  <c r="F29" i="35"/>
  <c r="I31" i="62"/>
  <c r="J32"/>
  <c r="H26"/>
  <c r="H64" s="1"/>
  <c r="K27"/>
  <c r="K26" s="1"/>
  <c r="K64" s="1"/>
  <c r="I27"/>
  <c r="J24"/>
  <c r="M25"/>
  <c r="M24" s="1"/>
  <c r="M14"/>
  <c r="M13" s="1"/>
  <c r="J13"/>
  <c r="J51" i="63"/>
  <c r="I49"/>
  <c r="I37"/>
  <c r="J38"/>
  <c r="M59" i="64"/>
  <c r="M58" s="1"/>
  <c r="J58"/>
  <c r="I24" i="6"/>
  <c r="J38" i="64"/>
  <c r="I37"/>
  <c r="F35" i="35"/>
  <c r="J23" i="64"/>
  <c r="I22"/>
  <c r="I64" s="1"/>
  <c r="H42" i="35"/>
  <c r="F13"/>
  <c r="M13" s="1"/>
  <c r="I13" i="6"/>
  <c r="M43" i="37"/>
  <c r="M39" s="1"/>
  <c r="J39"/>
  <c r="F7" i="6"/>
  <c r="F26" i="70"/>
  <c r="C37" i="6"/>
  <c r="I25"/>
  <c r="I22" i="63"/>
  <c r="I64" s="1"/>
  <c r="J23"/>
  <c r="G17" i="6"/>
  <c r="H17" s="1"/>
  <c r="F12" i="35"/>
  <c r="M12" s="1"/>
  <c r="M57" i="63"/>
  <c r="M56" s="1"/>
  <c r="J56"/>
  <c r="M27" i="64"/>
  <c r="M26" s="1"/>
  <c r="J26"/>
  <c r="I18" i="6"/>
  <c r="H11" i="35"/>
  <c r="H8" i="6"/>
  <c r="K57" i="37"/>
  <c r="K56" s="1"/>
  <c r="H56"/>
  <c r="H51" i="35"/>
  <c r="I57" i="37"/>
  <c r="M53"/>
  <c r="M52" s="1"/>
  <c r="I21" i="6" s="1"/>
  <c r="J52" i="37"/>
  <c r="F16" i="70"/>
  <c r="I16" s="1"/>
  <c r="M32" i="37"/>
  <c r="M31" s="1"/>
  <c r="J31"/>
  <c r="K27"/>
  <c r="K26" s="1"/>
  <c r="I27"/>
  <c r="H26"/>
  <c r="H25" i="35"/>
  <c r="H24" s="1"/>
  <c r="M25" i="37"/>
  <c r="M24" s="1"/>
  <c r="I11" i="6" s="1"/>
  <c r="J24" i="37"/>
  <c r="K23"/>
  <c r="K22" s="1"/>
  <c r="H22"/>
  <c r="H21" i="35"/>
  <c r="H20" s="1"/>
  <c r="K64" i="37"/>
  <c r="H64"/>
  <c r="I20"/>
  <c r="F19" i="35"/>
  <c r="J21" i="37"/>
  <c r="J13"/>
  <c r="M15"/>
  <c r="M13" s="1"/>
  <c r="I8"/>
  <c r="F14" i="35"/>
  <c r="M14" s="1"/>
  <c r="J12" i="37"/>
  <c r="K19" i="70"/>
  <c r="J50" i="37"/>
  <c r="F37" i="35"/>
  <c r="I49" i="37"/>
  <c r="H20" i="6"/>
  <c r="J24" i="70"/>
  <c r="H24"/>
  <c r="G26" l="1"/>
  <c r="I26"/>
  <c r="G15"/>
  <c r="I15"/>
  <c r="H64" i="38"/>
  <c r="F36" i="35"/>
  <c r="M36" s="1"/>
  <c r="M37"/>
  <c r="F34"/>
  <c r="M34" s="1"/>
  <c r="M35"/>
  <c r="F26"/>
  <c r="M26" s="1"/>
  <c r="M29"/>
  <c r="F18"/>
  <c r="M18" s="1"/>
  <c r="M19"/>
  <c r="H16" i="70"/>
  <c r="G16"/>
  <c r="H64" i="46"/>
  <c r="H15" i="70"/>
  <c r="M57" i="62"/>
  <c r="M56" s="1"/>
  <c r="J56"/>
  <c r="G26" i="6"/>
  <c r="H41" i="35"/>
  <c r="J22" i="62"/>
  <c r="M23"/>
  <c r="M22" s="1"/>
  <c r="M55" i="69"/>
  <c r="M54" s="1"/>
  <c r="J54"/>
  <c r="M32"/>
  <c r="M31" s="1"/>
  <c r="J31"/>
  <c r="J27"/>
  <c r="I26"/>
  <c r="I64" s="1"/>
  <c r="M57"/>
  <c r="M56" s="1"/>
  <c r="J56"/>
  <c r="M40"/>
  <c r="M39" s="1"/>
  <c r="J39"/>
  <c r="M50"/>
  <c r="M49" s="1"/>
  <c r="J49"/>
  <c r="M23"/>
  <c r="M22" s="1"/>
  <c r="J22"/>
  <c r="M50" i="68"/>
  <c r="M49" s="1"/>
  <c r="J49"/>
  <c r="M32"/>
  <c r="M31" s="1"/>
  <c r="J31"/>
  <c r="M23"/>
  <c r="M22" s="1"/>
  <c r="J22"/>
  <c r="M9"/>
  <c r="M8" s="1"/>
  <c r="J8"/>
  <c r="M38"/>
  <c r="M37" s="1"/>
  <c r="J37"/>
  <c r="J27"/>
  <c r="I26"/>
  <c r="M55"/>
  <c r="M54" s="1"/>
  <c r="J54"/>
  <c r="M41"/>
  <c r="K39"/>
  <c r="K64" s="1"/>
  <c r="M57"/>
  <c r="M56" s="1"/>
  <c r="J56"/>
  <c r="M39"/>
  <c r="I64"/>
  <c r="M50" i="1"/>
  <c r="M49" s="1"/>
  <c r="J49"/>
  <c r="M32"/>
  <c r="M31" s="1"/>
  <c r="J31"/>
  <c r="M23"/>
  <c r="M22" s="1"/>
  <c r="J22"/>
  <c r="M55"/>
  <c r="M54" s="1"/>
  <c r="J54"/>
  <c r="M40"/>
  <c r="M39" s="1"/>
  <c r="J39"/>
  <c r="J27"/>
  <c r="I26"/>
  <c r="I64" s="1"/>
  <c r="M57"/>
  <c r="M56" s="1"/>
  <c r="J56"/>
  <c r="M9" i="38"/>
  <c r="M8" s="1"/>
  <c r="J8"/>
  <c r="M23"/>
  <c r="M22" s="1"/>
  <c r="J22"/>
  <c r="M38"/>
  <c r="M37" s="1"/>
  <c r="J37"/>
  <c r="J27"/>
  <c r="I26"/>
  <c r="M41"/>
  <c r="K39"/>
  <c r="K64" s="1"/>
  <c r="M57"/>
  <c r="M56" s="1"/>
  <c r="J56"/>
  <c r="M39"/>
  <c r="M55"/>
  <c r="M54" s="1"/>
  <c r="J54"/>
  <c r="M50"/>
  <c r="M49" s="1"/>
  <c r="J49"/>
  <c r="I64"/>
  <c r="M23" i="39"/>
  <c r="M22" s="1"/>
  <c r="J22"/>
  <c r="M50"/>
  <c r="M49" s="1"/>
  <c r="J49"/>
  <c r="M32"/>
  <c r="M31" s="1"/>
  <c r="J31"/>
  <c r="J27"/>
  <c r="I26"/>
  <c r="I64" s="1"/>
  <c r="M57"/>
  <c r="M56" s="1"/>
  <c r="J56"/>
  <c r="M40"/>
  <c r="M39" s="1"/>
  <c r="J39"/>
  <c r="M9" i="40"/>
  <c r="M8" s="1"/>
  <c r="J8"/>
  <c r="M23"/>
  <c r="M22" s="1"/>
  <c r="J22"/>
  <c r="M50"/>
  <c r="M49" s="1"/>
  <c r="J49"/>
  <c r="M38"/>
  <c r="M37" s="1"/>
  <c r="J37"/>
  <c r="J27"/>
  <c r="I26"/>
  <c r="I64" s="1"/>
  <c r="M41"/>
  <c r="K39"/>
  <c r="K64" s="1"/>
  <c r="M57"/>
  <c r="M56" s="1"/>
  <c r="J56"/>
  <c r="M39"/>
  <c r="M55" i="41"/>
  <c r="M54" s="1"/>
  <c r="J54"/>
  <c r="M32"/>
  <c r="M31" s="1"/>
  <c r="J31"/>
  <c r="M23"/>
  <c r="M22" s="1"/>
  <c r="J22"/>
  <c r="M38"/>
  <c r="M37" s="1"/>
  <c r="J37"/>
  <c r="J27"/>
  <c r="I26"/>
  <c r="I64" s="1"/>
  <c r="H64"/>
  <c r="M50"/>
  <c r="M49" s="1"/>
  <c r="J49"/>
  <c r="M41"/>
  <c r="M39" s="1"/>
  <c r="K39"/>
  <c r="M57"/>
  <c r="M56" s="1"/>
  <c r="J56"/>
  <c r="K64"/>
  <c r="M23" i="42"/>
  <c r="M22" s="1"/>
  <c r="J22"/>
  <c r="M50"/>
  <c r="M49" s="1"/>
  <c r="J49"/>
  <c r="J27"/>
  <c r="I26"/>
  <c r="I64" s="1"/>
  <c r="M57"/>
  <c r="M56" s="1"/>
  <c r="J56"/>
  <c r="M40"/>
  <c r="M39" s="1"/>
  <c r="J39"/>
  <c r="M38" i="43"/>
  <c r="M37" s="1"/>
  <c r="J37"/>
  <c r="M23"/>
  <c r="M22" s="1"/>
  <c r="J22"/>
  <c r="M50"/>
  <c r="M49" s="1"/>
  <c r="J49"/>
  <c r="M32"/>
  <c r="M31" s="1"/>
  <c r="J31"/>
  <c r="J27"/>
  <c r="I26"/>
  <c r="I64" s="1"/>
  <c r="M40"/>
  <c r="M39" s="1"/>
  <c r="J39"/>
  <c r="M57"/>
  <c r="M56" s="1"/>
  <c r="J56"/>
  <c r="M55" i="44"/>
  <c r="M54" s="1"/>
  <c r="J54"/>
  <c r="M23"/>
  <c r="M22" s="1"/>
  <c r="J22"/>
  <c r="J27"/>
  <c r="I26"/>
  <c r="I64" s="1"/>
  <c r="M57"/>
  <c r="M56" s="1"/>
  <c r="J56"/>
  <c r="M40"/>
  <c r="M39" s="1"/>
  <c r="J39"/>
  <c r="M50"/>
  <c r="M49" s="1"/>
  <c r="J49"/>
  <c r="M41" i="45"/>
  <c r="K39"/>
  <c r="M57"/>
  <c r="M56" s="1"/>
  <c r="J56"/>
  <c r="M39"/>
  <c r="K64"/>
  <c r="M50"/>
  <c r="M49" s="1"/>
  <c r="J49"/>
  <c r="M38"/>
  <c r="M37" s="1"/>
  <c r="J37"/>
  <c r="J27"/>
  <c r="I26"/>
  <c r="I64" s="1"/>
  <c r="M23"/>
  <c r="M22" s="1"/>
  <c r="J22"/>
  <c r="M9" i="46"/>
  <c r="M8" s="1"/>
  <c r="J8"/>
  <c r="M23"/>
  <c r="M22" s="1"/>
  <c r="J22"/>
  <c r="M38"/>
  <c r="M37" s="1"/>
  <c r="J37"/>
  <c r="J27"/>
  <c r="I26"/>
  <c r="M57"/>
  <c r="M56" s="1"/>
  <c r="J56"/>
  <c r="M39"/>
  <c r="M55"/>
  <c r="M54" s="1"/>
  <c r="J54"/>
  <c r="M41"/>
  <c r="K39"/>
  <c r="K64" s="1"/>
  <c r="M32"/>
  <c r="M31" s="1"/>
  <c r="J31"/>
  <c r="M50"/>
  <c r="M49" s="1"/>
  <c r="J49"/>
  <c r="I64"/>
  <c r="M57" i="47"/>
  <c r="M56" s="1"/>
  <c r="J56"/>
  <c r="M27"/>
  <c r="M26" s="1"/>
  <c r="J26"/>
  <c r="M55"/>
  <c r="M54" s="1"/>
  <c r="J54"/>
  <c r="M40"/>
  <c r="M39" s="1"/>
  <c r="J39"/>
  <c r="I22"/>
  <c r="I64" s="1"/>
  <c r="J23"/>
  <c r="M40" i="48"/>
  <c r="M39" s="1"/>
  <c r="J39"/>
  <c r="M57"/>
  <c r="M56" s="1"/>
  <c r="J56"/>
  <c r="M23"/>
  <c r="M22" s="1"/>
  <c r="J22"/>
  <c r="M50"/>
  <c r="M49" s="1"/>
  <c r="J49"/>
  <c r="J27"/>
  <c r="I26"/>
  <c r="I64" s="1"/>
  <c r="M32" i="49"/>
  <c r="M31" s="1"/>
  <c r="J31"/>
  <c r="M23"/>
  <c r="M22" s="1"/>
  <c r="J22"/>
  <c r="M57"/>
  <c r="M56" s="1"/>
  <c r="J56"/>
  <c r="M40"/>
  <c r="M39" s="1"/>
  <c r="J39"/>
  <c r="M50"/>
  <c r="M49" s="1"/>
  <c r="J49"/>
  <c r="M38"/>
  <c r="M37" s="1"/>
  <c r="J37"/>
  <c r="J27"/>
  <c r="I26"/>
  <c r="I64" s="1"/>
  <c r="M55" i="50"/>
  <c r="M54" s="1"/>
  <c r="J54"/>
  <c r="M57"/>
  <c r="M56" s="1"/>
  <c r="J56"/>
  <c r="M40"/>
  <c r="M39" s="1"/>
  <c r="J39"/>
  <c r="M23"/>
  <c r="M22" s="1"/>
  <c r="J22"/>
  <c r="J27"/>
  <c r="I26"/>
  <c r="I64" s="1"/>
  <c r="M23" i="51"/>
  <c r="M22" s="1"/>
  <c r="J22"/>
  <c r="M50"/>
  <c r="M49" s="1"/>
  <c r="J49"/>
  <c r="M32"/>
  <c r="M31" s="1"/>
  <c r="J31"/>
  <c r="M38"/>
  <c r="M37" s="1"/>
  <c r="J37"/>
  <c r="J27"/>
  <c r="I26"/>
  <c r="M40"/>
  <c r="M39" s="1"/>
  <c r="J39"/>
  <c r="I64"/>
  <c r="M57"/>
  <c r="M56" s="1"/>
  <c r="J56"/>
  <c r="M9"/>
  <c r="M8" s="1"/>
  <c r="J8"/>
  <c r="M23" i="52"/>
  <c r="M22" s="1"/>
  <c r="J22"/>
  <c r="M50"/>
  <c r="M49" s="1"/>
  <c r="J49"/>
  <c r="M38"/>
  <c r="M37" s="1"/>
  <c r="J37"/>
  <c r="J27"/>
  <c r="I26"/>
  <c r="I64" s="1"/>
  <c r="M41"/>
  <c r="K39"/>
  <c r="K64" s="1"/>
  <c r="M57"/>
  <c r="M56" s="1"/>
  <c r="J56"/>
  <c r="M39"/>
  <c r="M50" i="53"/>
  <c r="M49" s="1"/>
  <c r="J49"/>
  <c r="M57"/>
  <c r="M56" s="1"/>
  <c r="J56"/>
  <c r="M23"/>
  <c r="M22" s="1"/>
  <c r="J22"/>
  <c r="M55"/>
  <c r="M54" s="1"/>
  <c r="J54"/>
  <c r="M32"/>
  <c r="M31" s="1"/>
  <c r="J31"/>
  <c r="M38"/>
  <c r="M37" s="1"/>
  <c r="J37"/>
  <c r="J27"/>
  <c r="I26"/>
  <c r="I64" s="1"/>
  <c r="M40"/>
  <c r="M39" s="1"/>
  <c r="J39"/>
  <c r="M41" i="54"/>
  <c r="K39"/>
  <c r="K64" s="1"/>
  <c r="M57"/>
  <c r="M56" s="1"/>
  <c r="J56"/>
  <c r="M39"/>
  <c r="M50"/>
  <c r="M49" s="1"/>
  <c r="J49"/>
  <c r="M32"/>
  <c r="M31" s="1"/>
  <c r="J31"/>
  <c r="M23"/>
  <c r="M22" s="1"/>
  <c r="J22"/>
  <c r="M38"/>
  <c r="M37" s="1"/>
  <c r="J37"/>
  <c r="J27"/>
  <c r="I26"/>
  <c r="I64" s="1"/>
  <c r="M55"/>
  <c r="M54" s="1"/>
  <c r="J54"/>
  <c r="H64"/>
  <c r="M50" i="55"/>
  <c r="M49" s="1"/>
  <c r="J49"/>
  <c r="M9"/>
  <c r="M8" s="1"/>
  <c r="J8"/>
  <c r="M23"/>
  <c r="M22" s="1"/>
  <c r="J22"/>
  <c r="J27"/>
  <c r="I26"/>
  <c r="M40"/>
  <c r="M39" s="1"/>
  <c r="J39"/>
  <c r="M55"/>
  <c r="M54" s="1"/>
  <c r="J54"/>
  <c r="M57"/>
  <c r="M56" s="1"/>
  <c r="J56"/>
  <c r="I64"/>
  <c r="M41" i="56"/>
  <c r="K39"/>
  <c r="M57"/>
  <c r="M56" s="1"/>
  <c r="J56"/>
  <c r="H64"/>
  <c r="K64"/>
  <c r="M50"/>
  <c r="M49" s="1"/>
  <c r="J49"/>
  <c r="M32"/>
  <c r="M31" s="1"/>
  <c r="J31"/>
  <c r="M38"/>
  <c r="M37" s="1"/>
  <c r="J37"/>
  <c r="J27"/>
  <c r="I26"/>
  <c r="I8"/>
  <c r="I64" s="1"/>
  <c r="J9"/>
  <c r="M39"/>
  <c r="M50" i="57"/>
  <c r="M49" s="1"/>
  <c r="J49"/>
  <c r="M32"/>
  <c r="M31" s="1"/>
  <c r="J31"/>
  <c r="M23"/>
  <c r="M22" s="1"/>
  <c r="J22"/>
  <c r="M9"/>
  <c r="M8" s="1"/>
  <c r="J8"/>
  <c r="M38"/>
  <c r="M37" s="1"/>
  <c r="J37"/>
  <c r="J27"/>
  <c r="I26"/>
  <c r="M57"/>
  <c r="M56" s="1"/>
  <c r="J56"/>
  <c r="M55"/>
  <c r="M54" s="1"/>
  <c r="J54"/>
  <c r="M40"/>
  <c r="M39" s="1"/>
  <c r="J39"/>
  <c r="I64"/>
  <c r="M55" i="58"/>
  <c r="M54" s="1"/>
  <c r="J54"/>
  <c r="M41"/>
  <c r="K39"/>
  <c r="K64" s="1"/>
  <c r="M38"/>
  <c r="M37" s="1"/>
  <c r="J37"/>
  <c r="M50"/>
  <c r="M49" s="1"/>
  <c r="J49"/>
  <c r="M39"/>
  <c r="M23"/>
  <c r="M22" s="1"/>
  <c r="J22"/>
  <c r="J27"/>
  <c r="I26"/>
  <c r="I64" s="1"/>
  <c r="M57"/>
  <c r="M56" s="1"/>
  <c r="J56"/>
  <c r="M40" i="59"/>
  <c r="M39" s="1"/>
  <c r="J39"/>
  <c r="M55"/>
  <c r="M54" s="1"/>
  <c r="J54"/>
  <c r="M32"/>
  <c r="M31" s="1"/>
  <c r="J31"/>
  <c r="J27"/>
  <c r="I26"/>
  <c r="I64" s="1"/>
  <c r="M57"/>
  <c r="M56" s="1"/>
  <c r="J56"/>
  <c r="M50"/>
  <c r="M49" s="1"/>
  <c r="J49"/>
  <c r="M23"/>
  <c r="M22" s="1"/>
  <c r="J22"/>
  <c r="M38"/>
  <c r="M37" s="1"/>
  <c r="J37"/>
  <c r="M40" i="60"/>
  <c r="M39" s="1"/>
  <c r="J39"/>
  <c r="M57"/>
  <c r="M56" s="1"/>
  <c r="J56"/>
  <c r="M50"/>
  <c r="M49" s="1"/>
  <c r="J49"/>
  <c r="M55"/>
  <c r="M54" s="1"/>
  <c r="J54"/>
  <c r="M23"/>
  <c r="M22" s="1"/>
  <c r="J22"/>
  <c r="J27"/>
  <c r="I26"/>
  <c r="I64" s="1"/>
  <c r="M57" i="61"/>
  <c r="M56" s="1"/>
  <c r="J56"/>
  <c r="M50"/>
  <c r="M49" s="1"/>
  <c r="J49"/>
  <c r="M38"/>
  <c r="M37" s="1"/>
  <c r="J37"/>
  <c r="J27"/>
  <c r="I26"/>
  <c r="I64" s="1"/>
  <c r="M23"/>
  <c r="M22" s="1"/>
  <c r="J22"/>
  <c r="M40"/>
  <c r="M39" s="1"/>
  <c r="J39"/>
  <c r="M32"/>
  <c r="M31" s="1"/>
  <c r="J31"/>
  <c r="K20" i="70"/>
  <c r="J55" i="62"/>
  <c r="I54"/>
  <c r="F49" i="35"/>
  <c r="M50" i="62"/>
  <c r="M49" s="1"/>
  <c r="J49"/>
  <c r="J39"/>
  <c r="M40"/>
  <c r="M39" s="1"/>
  <c r="M38"/>
  <c r="M37" s="1"/>
  <c r="J37"/>
  <c r="M32"/>
  <c r="M31" s="1"/>
  <c r="I14" i="6" s="1"/>
  <c r="J31" i="62"/>
  <c r="J27"/>
  <c r="I26"/>
  <c r="M51" i="63"/>
  <c r="M49" s="1"/>
  <c r="J49"/>
  <c r="M38"/>
  <c r="M37" s="1"/>
  <c r="J37"/>
  <c r="J37" i="64"/>
  <c r="M38"/>
  <c r="M37" s="1"/>
  <c r="M23" i="63"/>
  <c r="M22" s="1"/>
  <c r="M64" s="1"/>
  <c r="J22"/>
  <c r="J64" s="1"/>
  <c r="F11" i="35"/>
  <c r="M11" s="1"/>
  <c r="H26" i="70"/>
  <c r="J26"/>
  <c r="F25"/>
  <c r="G25" s="1"/>
  <c r="F26" i="6"/>
  <c r="H7"/>
  <c r="H26" s="1"/>
  <c r="F14" i="70" s="1"/>
  <c r="F42" i="35"/>
  <c r="M23" i="64"/>
  <c r="M22" s="1"/>
  <c r="M64" s="1"/>
  <c r="J22"/>
  <c r="J64" s="1"/>
  <c r="I8" i="6"/>
  <c r="H10" i="35"/>
  <c r="I19" i="6"/>
  <c r="I56" i="37"/>
  <c r="F51" i="35"/>
  <c r="J57" i="37"/>
  <c r="J27"/>
  <c r="F25" i="35"/>
  <c r="I26" i="37"/>
  <c r="I22"/>
  <c r="I64" s="1"/>
  <c r="F21" i="35"/>
  <c r="J23" i="37"/>
  <c r="M21"/>
  <c r="M20" s="1"/>
  <c r="I9" i="6" s="1"/>
  <c r="J20" i="37"/>
  <c r="J8"/>
  <c r="M12"/>
  <c r="M8" s="1"/>
  <c r="M50"/>
  <c r="M49" s="1"/>
  <c r="J49"/>
  <c r="K24" i="70"/>
  <c r="G14" l="1"/>
  <c r="I14"/>
  <c r="M51" i="35"/>
  <c r="F48"/>
  <c r="M48" s="1"/>
  <c r="M49"/>
  <c r="F41"/>
  <c r="M41" s="1"/>
  <c r="M42"/>
  <c r="F24"/>
  <c r="M24" s="1"/>
  <c r="M25"/>
  <c r="F20"/>
  <c r="M20" s="1"/>
  <c r="M21"/>
  <c r="K16" i="70"/>
  <c r="J16"/>
  <c r="K15"/>
  <c r="J15"/>
  <c r="F10" i="35"/>
  <c r="M10" s="1"/>
  <c r="I64" i="62"/>
  <c r="M27" i="69"/>
  <c r="M26" s="1"/>
  <c r="M64" s="1"/>
  <c r="J26"/>
  <c r="J64" s="1"/>
  <c r="M27" i="68"/>
  <c r="M26" s="1"/>
  <c r="J26"/>
  <c r="M64"/>
  <c r="J64"/>
  <c r="M27" i="1"/>
  <c r="M26" s="1"/>
  <c r="M64" s="1"/>
  <c r="J26"/>
  <c r="J64" s="1"/>
  <c r="M27" i="38"/>
  <c r="M26" s="1"/>
  <c r="J26"/>
  <c r="J64" s="1"/>
  <c r="M64"/>
  <c r="M27" i="39"/>
  <c r="M26" s="1"/>
  <c r="M64" s="1"/>
  <c r="J26"/>
  <c r="J64" s="1"/>
  <c r="M27" i="40"/>
  <c r="M26" s="1"/>
  <c r="J26"/>
  <c r="M64"/>
  <c r="J64"/>
  <c r="M27" i="41"/>
  <c r="M26" s="1"/>
  <c r="M64" s="1"/>
  <c r="J26"/>
  <c r="J64" s="1"/>
  <c r="M27" i="42"/>
  <c r="M26" s="1"/>
  <c r="M64" s="1"/>
  <c r="J26"/>
  <c r="J64" s="1"/>
  <c r="M27" i="43"/>
  <c r="M26" s="1"/>
  <c r="M64" s="1"/>
  <c r="J26"/>
  <c r="J64" s="1"/>
  <c r="M27" i="44"/>
  <c r="M26" s="1"/>
  <c r="M64" s="1"/>
  <c r="J26"/>
  <c r="J64" s="1"/>
  <c r="M27" i="45"/>
  <c r="M26" s="1"/>
  <c r="M64" s="1"/>
  <c r="J26"/>
  <c r="J64" s="1"/>
  <c r="M27" i="46"/>
  <c r="M26" s="1"/>
  <c r="J26"/>
  <c r="J64" s="1"/>
  <c r="M64"/>
  <c r="M23" i="47"/>
  <c r="M22" s="1"/>
  <c r="M64" s="1"/>
  <c r="J22"/>
  <c r="J64" s="1"/>
  <c r="M27" i="48"/>
  <c r="M26" s="1"/>
  <c r="M64" s="1"/>
  <c r="J26"/>
  <c r="J64" s="1"/>
  <c r="M27" i="49"/>
  <c r="M26" s="1"/>
  <c r="M64" s="1"/>
  <c r="J26"/>
  <c r="J64" s="1"/>
  <c r="M27" i="50"/>
  <c r="M26" s="1"/>
  <c r="M64" s="1"/>
  <c r="J26"/>
  <c r="J64" s="1"/>
  <c r="M27" i="51"/>
  <c r="M26" s="1"/>
  <c r="M64" s="1"/>
  <c r="J26"/>
  <c r="J64"/>
  <c r="M27" i="52"/>
  <c r="M26" s="1"/>
  <c r="M64" s="1"/>
  <c r="J26"/>
  <c r="J64" s="1"/>
  <c r="M27" i="53"/>
  <c r="M26" s="1"/>
  <c r="M64" s="1"/>
  <c r="J78" s="1"/>
  <c r="J26"/>
  <c r="J64" s="1"/>
  <c r="M27" i="54"/>
  <c r="M26" s="1"/>
  <c r="M64" s="1"/>
  <c r="J26"/>
  <c r="J64" s="1"/>
  <c r="M27" i="55"/>
  <c r="M26" s="1"/>
  <c r="J26"/>
  <c r="M64"/>
  <c r="J64"/>
  <c r="M27" i="56"/>
  <c r="M26" s="1"/>
  <c r="J26"/>
  <c r="M9"/>
  <c r="M8" s="1"/>
  <c r="M64" s="1"/>
  <c r="M80" s="1"/>
  <c r="J8"/>
  <c r="J64" s="1"/>
  <c r="M27" i="57"/>
  <c r="M26" s="1"/>
  <c r="J26"/>
  <c r="M64"/>
  <c r="J64"/>
  <c r="M27" i="58"/>
  <c r="M26" s="1"/>
  <c r="M64" s="1"/>
  <c r="J26"/>
  <c r="J64" s="1"/>
  <c r="M27" i="59"/>
  <c r="M26" s="1"/>
  <c r="M64" s="1"/>
  <c r="J26"/>
  <c r="J64" s="1"/>
  <c r="M27" i="60"/>
  <c r="M26" s="1"/>
  <c r="M64" s="1"/>
  <c r="J26"/>
  <c r="J64" s="1"/>
  <c r="M27" i="61"/>
  <c r="M26" s="1"/>
  <c r="M64" s="1"/>
  <c r="J26"/>
  <c r="J64" s="1"/>
  <c r="I16" i="6"/>
  <c r="M55" i="62"/>
  <c r="M54" s="1"/>
  <c r="I22" i="6" s="1"/>
  <c r="J54" i="62"/>
  <c r="M27"/>
  <c r="M26" s="1"/>
  <c r="M64" s="1"/>
  <c r="J26"/>
  <c r="J64" s="1"/>
  <c r="H14" i="70"/>
  <c r="J14"/>
  <c r="H25"/>
  <c r="K26"/>
  <c r="I25"/>
  <c r="J25" s="1"/>
  <c r="J56" i="37"/>
  <c r="M57"/>
  <c r="M56" s="1"/>
  <c r="I23" i="6" s="1"/>
  <c r="M27" i="37"/>
  <c r="M26" s="1"/>
  <c r="I12" i="6" s="1"/>
  <c r="J26" i="37"/>
  <c r="M23"/>
  <c r="M22" s="1"/>
  <c r="I10" i="6" s="1"/>
  <c r="J22" i="37"/>
  <c r="J64"/>
  <c r="I20" i="6"/>
  <c r="M64" i="37"/>
  <c r="K14" i="70" l="1"/>
  <c r="K25"/>
  <c r="I17" i="6"/>
  <c r="I7"/>
  <c r="I26" l="1"/>
  <c r="F13" i="70" s="1"/>
  <c r="I13" s="1"/>
  <c r="J13" l="1"/>
  <c r="G13"/>
  <c r="F41"/>
  <c r="H41" s="1"/>
  <c r="H13"/>
  <c r="L26" i="6"/>
  <c r="E38"/>
  <c r="K13" i="70"/>
  <c r="I41" l="1"/>
  <c r="K41" s="1"/>
</calcChain>
</file>

<file path=xl/sharedStrings.xml><?xml version="1.0" encoding="utf-8"?>
<sst xmlns="http://schemas.openxmlformats.org/spreadsheetml/2006/main" count="3660" uniqueCount="263">
  <si>
    <t>Stt</t>
  </si>
  <si>
    <t>TUYẾN</t>
  </si>
  <si>
    <t>A</t>
  </si>
  <si>
    <t>HTX XKLT DL&amp; DV Thống Nhất</t>
  </si>
  <si>
    <t>DNTN Anh Huy</t>
  </si>
  <si>
    <t>HTX VTHK &amp; DL Bình Minh</t>
  </si>
  <si>
    <t>HTX VT HK Đoàn Kết</t>
  </si>
  <si>
    <t>CTY TNHH Nam Phát</t>
  </si>
  <si>
    <t>CTY CP Tây Ninh</t>
  </si>
  <si>
    <t>HTX VTTB Huyện Bến Cầu</t>
  </si>
  <si>
    <t>HTX VT HH &amp;HK Minh Châu</t>
  </si>
  <si>
    <t>HTX VTHH &amp;HK ĐB Tân Biên</t>
  </si>
  <si>
    <t>HTX VT -HH -HK Tân Châu</t>
  </si>
  <si>
    <t>Cty TNHH DVVT &amp; KDTH Quảng Nam</t>
  </si>
  <si>
    <t>CN Cty TNHH DVVT &amp; KDTH Quảng Nam</t>
  </si>
  <si>
    <t>CTY CP BICH NGA</t>
  </si>
  <si>
    <t>HTX GTVT ĐAI LỘC</t>
  </si>
  <si>
    <t>HTX VT OTO PHAN RANG</t>
  </si>
  <si>
    <t>CTY TNHH 1TV KIM NGÂN</t>
  </si>
  <si>
    <t>CTY TNHH Đồng Phước</t>
  </si>
  <si>
    <t>BXAS - BX Tây Ninh (25 ghế)</t>
  </si>
  <si>
    <t>BXAS - BX Tây Ninh (Tốc hành)</t>
  </si>
  <si>
    <t>BXAS - BX Tây Ninh CLC</t>
  </si>
  <si>
    <t>BXAS - BX Bến Cầu</t>
  </si>
  <si>
    <t>BXAS - BX Dương Minh Châu</t>
  </si>
  <si>
    <t>BXAS - BX Phước Minh</t>
  </si>
  <si>
    <t>BXAS - BX Tân Biên</t>
  </si>
  <si>
    <t>BXAS - BX Tân Châu</t>
  </si>
  <si>
    <t>BXAS - BX Tân Châu CLC</t>
  </si>
  <si>
    <t>BXAS - BX Ninh Thuận (Phan Rang)</t>
  </si>
  <si>
    <t>BXAS - BX Châu Thành</t>
  </si>
  <si>
    <t>Lượt xe xuất bến</t>
  </si>
  <si>
    <t>Cộng</t>
  </si>
  <si>
    <t>Lượt hành khách qua bến</t>
  </si>
  <si>
    <t>TP</t>
  </si>
  <si>
    <t xml:space="preserve"> TP</t>
  </si>
  <si>
    <t xml:space="preserve"> ĐP</t>
  </si>
  <si>
    <t>ĐP</t>
  </si>
  <si>
    <t>Xe Khách Liên Tỉnh</t>
  </si>
  <si>
    <t>H/khách</t>
  </si>
  <si>
    <t>T/trọng</t>
  </si>
  <si>
    <t>Lệ phí xe
Qua bến</t>
  </si>
  <si>
    <t>Hoa hồng 
vé</t>
  </si>
  <si>
    <t>Đậu 
đêm</t>
  </si>
  <si>
    <t>BXAS - BX Đại Lộc (Quảng Nam)</t>
  </si>
  <si>
    <t>Doanh thu</t>
  </si>
  <si>
    <t>Quảng Nam CLC</t>
  </si>
  <si>
    <t>STT</t>
  </si>
  <si>
    <t>TUYẾN XE</t>
  </si>
  <si>
    <t>LƯỢT XE XUẤT BẾN</t>
  </si>
  <si>
    <t>LƯỢT HÀNH KHÁCH QUA BẾN</t>
  </si>
  <si>
    <t>DOANH THU</t>
  </si>
  <si>
    <t>XE TP</t>
  </si>
  <si>
    <t>XE ĐP</t>
  </si>
  <si>
    <t>CỘNG</t>
  </si>
  <si>
    <t>TỔNG CỘNG</t>
  </si>
  <si>
    <t>NỘI DUNG</t>
  </si>
  <si>
    <t>LƯỢT XE</t>
  </si>
  <si>
    <t>LƯỢT</t>
  </si>
  <si>
    <t>Xe tải vãng lai</t>
  </si>
  <si>
    <t>Xe tải đậu tháng</t>
  </si>
  <si>
    <t>Xe sang hàng</t>
  </si>
  <si>
    <t xml:space="preserve">Xe buýt hợp đồng tháng </t>
  </si>
  <si>
    <t>Doanh thu XK đậu đêm</t>
  </si>
  <si>
    <t>TỔNG DOANH THU THÁNG</t>
  </si>
  <si>
    <t>Người lập biểu</t>
  </si>
  <si>
    <t>Công ty cổ phần Bến bãi vận tải Sài Gòn</t>
  </si>
  <si>
    <t>CỘNG HÒA XÃ HỘI CHỦ NGHĨA VIỆT NAM</t>
  </si>
  <si>
    <t>BẾN XE AN SƯƠNG</t>
  </si>
  <si>
    <t>Độc lập - Tự do - Hạnh phúc</t>
  </si>
  <si>
    <t>ĐỘI ĐIỀU HÀNH</t>
  </si>
  <si>
    <t>SẢN LƯỢNG VÀ DOANH THU</t>
  </si>
  <si>
    <t xml:space="preserve"> </t>
  </si>
  <si>
    <t>TRONG ĐÓ</t>
  </si>
  <si>
    <t>CN 5T</t>
  </si>
  <si>
    <t>CN 10T</t>
  </si>
  <si>
    <t>CN 15T</t>
  </si>
  <si>
    <t>NN XE TẢI</t>
  </si>
  <si>
    <t>CN XE 20F</t>
  </si>
  <si>
    <t>BX ĐẠI LỘC</t>
  </si>
  <si>
    <r>
      <t xml:space="preserve">BX TÂY NINH </t>
    </r>
    <r>
      <rPr>
        <b/>
        <sz val="9"/>
        <rFont val="Arial"/>
        <family val="2"/>
      </rPr>
      <t>(25 Chổ)</t>
    </r>
  </si>
  <si>
    <r>
      <t xml:space="preserve">BX TÂY NINH </t>
    </r>
    <r>
      <rPr>
        <b/>
        <sz val="9"/>
        <rFont val="Arial"/>
        <family val="2"/>
      </rPr>
      <t>(Tốc hành)</t>
    </r>
  </si>
  <si>
    <r>
      <t xml:space="preserve">BX TÂY NINH </t>
    </r>
    <r>
      <rPr>
        <b/>
        <sz val="9"/>
        <rFont val="Arial"/>
        <family val="2"/>
      </rPr>
      <t>(CLC)</t>
    </r>
  </si>
  <si>
    <t>BX BẾN CẦU</t>
  </si>
  <si>
    <t>BX DƯƠNG MINH CHÂU</t>
  </si>
  <si>
    <t>BX PHƯỚC MINH</t>
  </si>
  <si>
    <t>BX TÂN BIÊN</t>
  </si>
  <si>
    <t>BX TÂN CHÂU</t>
  </si>
  <si>
    <r>
      <t>BX TÂN CHÂU</t>
    </r>
    <r>
      <rPr>
        <b/>
        <sz val="9"/>
        <rFont val="Arial"/>
        <family val="2"/>
      </rPr>
      <t xml:space="preserve"> (CLC)</t>
    </r>
  </si>
  <si>
    <t>BX NINH THUẬN (PHAN RANG)</t>
  </si>
  <si>
    <t>BX CHÂU THÀNH ( Tây Ninh)</t>
  </si>
  <si>
    <t xml:space="preserve">I. DOANH THU XE KHÁCH LIÊN TỈNH XUẤT BẾN </t>
  </si>
  <si>
    <t>NN XE 20F</t>
  </si>
  <si>
    <t>Công ty cổ phần Thái Dương Giang</t>
  </si>
  <si>
    <t>xe lớn</t>
  </si>
  <si>
    <t>xe nhỏ</t>
  </si>
  <si>
    <t>Xe lớn</t>
  </si>
  <si>
    <t>Xe nhỏ</t>
  </si>
  <si>
    <t>Tuyến/Đơn vị Vận tải</t>
  </si>
  <si>
    <t>Theo kế hoạch</t>
  </si>
  <si>
    <t xml:space="preserve">Thực hiện </t>
  </si>
  <si>
    <t>Tổng
số xe(xe)</t>
  </si>
  <si>
    <t>Tổng ghế xe (ghế xe)</t>
  </si>
  <si>
    <t>Lượt xe 
xuất bến (lượt)</t>
  </si>
  <si>
    <t>Lượt khách đi xe (khách)</t>
  </si>
  <si>
    <t>I</t>
  </si>
  <si>
    <t>BXAS - BX Thị Xã Tây Ninh</t>
  </si>
  <si>
    <t>DNTN Sơn Ca ( Phước Vinh)</t>
  </si>
  <si>
    <t>II</t>
  </si>
  <si>
    <t>BXAS - BX  Tây Ninh ( CLC)</t>
  </si>
  <si>
    <t>III</t>
  </si>
  <si>
    <t xml:space="preserve">BXAS - Bến Cầu ( Tây Ninh)   </t>
  </si>
  <si>
    <t>BXAS - DMC ( Tây Ninh)</t>
  </si>
  <si>
    <t>BXAS - Phước Minh ( Tây Ninh)</t>
  </si>
  <si>
    <t>BXAS - Tân Biên ( Tây Ninh)</t>
  </si>
  <si>
    <t>BXAS - Tân Châu ( Tây Ninh)</t>
  </si>
  <si>
    <t>BXAS - Tân Châu ( CLC)</t>
  </si>
  <si>
    <t>BXAS - BX Châu Thành ( Tây Ninh)</t>
  </si>
  <si>
    <t xml:space="preserve">BXAS - Phan Rang ( Ninh Thuận)  </t>
  </si>
  <si>
    <t>BXAS - BX Đại Lộc (Quãng Nam)</t>
  </si>
  <si>
    <r>
      <t>Nơi nhận</t>
    </r>
    <r>
      <rPr>
        <sz val="10"/>
        <rFont val="Times New Roman"/>
        <family val="1"/>
      </rPr>
      <t>:</t>
    </r>
  </si>
  <si>
    <t>Xe buýt đậu đêm</t>
  </si>
  <si>
    <r>
      <t xml:space="preserve">II. </t>
    </r>
    <r>
      <rPr>
        <b/>
        <u/>
        <sz val="10"/>
        <rFont val="Arial"/>
        <family val="2"/>
      </rPr>
      <t>DOANH THU XE LƯU ĐẬU</t>
    </r>
    <r>
      <rPr>
        <b/>
        <sz val="10"/>
        <rFont val="Arial"/>
        <family val="2"/>
      </rPr>
      <t xml:space="preserve"> </t>
    </r>
  </si>
  <si>
    <t>CN XE 40F</t>
  </si>
  <si>
    <t>NN XE 40F</t>
  </si>
  <si>
    <r>
      <t xml:space="preserve">DNTN Sơn Ca </t>
    </r>
    <r>
      <rPr>
        <b/>
        <sz val="9"/>
        <rFont val="Arial"/>
        <family val="2"/>
      </rPr>
      <t>( Phước Vinh)</t>
    </r>
  </si>
  <si>
    <t>Ghi chú
(Biểu đồ đăng ký hoạt động /ngày)</t>
  </si>
  <si>
    <t>Cty TNHH thương mại Dich vụ Thuỳ Linh</t>
  </si>
  <si>
    <t>Cty TNHH thương mại Dich vụ Thùy Linh</t>
  </si>
  <si>
    <t xml:space="preserve"> Xe tải</t>
  </si>
  <si>
    <t>lượt</t>
  </si>
  <si>
    <t>lệ phí</t>
  </si>
  <si>
    <t>Vãng lai</t>
  </si>
  <si>
    <t>Sang hàng:</t>
  </si>
  <si>
    <t>Buýt đ/đêm:</t>
  </si>
  <si>
    <t>Buýt:</t>
  </si>
  <si>
    <t>S/ hàng:</t>
  </si>
  <si>
    <t>Tân Châu khoán</t>
  </si>
  <si>
    <t>Tân Biên khoán</t>
  </si>
  <si>
    <t>Xe đậu đêm</t>
  </si>
  <si>
    <t>Xe đ/đêm</t>
  </si>
  <si>
    <t>Lượt</t>
  </si>
  <si>
    <t>Đêm</t>
  </si>
  <si>
    <t>Ngày</t>
  </si>
  <si>
    <t xml:space="preserve">Sang hàng đêm </t>
  </si>
  <si>
    <t>Sang hàng ngày</t>
  </si>
  <si>
    <t xml:space="preserve"> - Như trên</t>
  </si>
  <si>
    <t>GIÁM ĐỐC</t>
  </si>
  <si>
    <t>BẾN BÃI VẬN TẢI SÀI GÒN</t>
  </si>
  <si>
    <t xml:space="preserve">CÔNG TY CỔ PHẦN </t>
  </si>
  <si>
    <t>CTY TNHH MTV Đồng Phước Tây Ninh</t>
  </si>
  <si>
    <t>Cty TNHH Thương mại Dich vụ Thuỳ Linh</t>
  </si>
  <si>
    <t>CTY TNHH MTV Trần Kim Ngân</t>
  </si>
  <si>
    <t xml:space="preserve">Cty TNHH DVVT &amp; KD Tổng hợp </t>
  </si>
  <si>
    <t>CN Cty TNHH DVVT &amp; KDTH Tỉnh Quảng Nam</t>
  </si>
  <si>
    <t>DNTN Châu Thành</t>
  </si>
  <si>
    <t>Công ty cổ phần Vinh Phúc</t>
  </si>
  <si>
    <t>DNTN ANH HUY</t>
  </si>
  <si>
    <r>
      <t xml:space="preserve">BX ĐẠI LỘC </t>
    </r>
    <r>
      <rPr>
        <b/>
        <sz val="9"/>
        <rFont val="Arial"/>
        <family val="2"/>
      </rPr>
      <t>(CLC)</t>
    </r>
  </si>
  <si>
    <t>XK VÃNG LAI ĐÊM</t>
  </si>
  <si>
    <t>XK VÃNG LAI NGÀY</t>
  </si>
  <si>
    <t>XK Vãng lai đêm</t>
  </si>
  <si>
    <t>XK Vãng lai ngày</t>
  </si>
  <si>
    <t>BXAS - BX Hài Hậu ( Nam Định) CLC</t>
  </si>
  <si>
    <t xml:space="preserve">BXAS - BX Hài Hậu ( Nam Định) </t>
  </si>
  <si>
    <t>BXAS - BX Tân Biên CLC</t>
  </si>
  <si>
    <t>Ngày     tháng     năm  2012</t>
  </si>
  <si>
    <r>
      <t xml:space="preserve">BX TÂN BIÊN </t>
    </r>
    <r>
      <rPr>
        <b/>
        <sz val="9"/>
        <rFont val="Arial"/>
        <family val="2"/>
      </rPr>
      <t>(CLC)</t>
    </r>
  </si>
  <si>
    <r>
      <t xml:space="preserve">BX HẢI HẬU ( NAM ĐỊNH) </t>
    </r>
    <r>
      <rPr>
        <b/>
        <sz val="9"/>
        <rFont val="Arial"/>
        <family val="2"/>
      </rPr>
      <t>CLC</t>
    </r>
  </si>
  <si>
    <r>
      <t>Kính gửi</t>
    </r>
    <r>
      <rPr>
        <b/>
        <i/>
        <sz val="14"/>
        <rFont val="Times New Roman"/>
        <family val="1"/>
      </rPr>
      <t>: PHÒNG KẾ HOẠCH ĐẦU TƯ</t>
    </r>
  </si>
  <si>
    <t>CHÆ TIEÂU</t>
  </si>
  <si>
    <t>ÑVT</t>
  </si>
  <si>
    <t>KEÁ HOAÏCH</t>
  </si>
  <si>
    <t>LUÕY KEÁ NAÊM 2012</t>
  </si>
  <si>
    <t>NAÊM</t>
  </si>
  <si>
    <t>BQ/Thaùng</t>
  </si>
  <si>
    <t>SL&amp;DT</t>
  </si>
  <si>
    <t>So saùnh %</t>
  </si>
  <si>
    <t>CK</t>
  </si>
  <si>
    <t>KH</t>
  </si>
  <si>
    <t>XE KHAÙCH LIEÂN TÆNH</t>
  </si>
  <si>
    <t>VNÑ</t>
  </si>
  <si>
    <t>HAØNH KHAÙCH</t>
  </si>
  <si>
    <t>Löôït</t>
  </si>
  <si>
    <t>LÖÔÏT XE XUAÁT BEÁN</t>
  </si>
  <si>
    <t>Taây Ninh</t>
  </si>
  <si>
    <t>Quaûng Nam</t>
  </si>
  <si>
    <t>Phan Rang</t>
  </si>
  <si>
    <t>Hueá</t>
  </si>
  <si>
    <t>Nam Ñònh</t>
  </si>
  <si>
    <t>B</t>
  </si>
  <si>
    <t>PHÖÔNG TIEÄN LÖU ÑAÄU</t>
  </si>
  <si>
    <t>SAÛN LÖÔÏNG</t>
  </si>
  <si>
    <t>Xe taûi vaõng lai</t>
  </si>
  <si>
    <t>Xe khaùch ñaäu ñeâm</t>
  </si>
  <si>
    <t>Xe sang haøng (ñaõ quy ñoåi)</t>
  </si>
  <si>
    <t>TOÅNG DOANH THU</t>
  </si>
  <si>
    <r>
      <t>Nơi nhận</t>
    </r>
    <r>
      <rPr>
        <sz val="12"/>
        <rFont val="Times New Roman"/>
        <family val="1"/>
      </rPr>
      <t>:</t>
    </r>
  </si>
  <si>
    <t>C</t>
  </si>
  <si>
    <t>XE BUYÙT XUAÁT BEÁN</t>
  </si>
  <si>
    <t>Löôïng xe xuaát beán</t>
  </si>
  <si>
    <t>Haønh khaùch qua beán</t>
  </si>
  <si>
    <t>D</t>
  </si>
  <si>
    <t>DÒCH VUÏ HOÃ TRÔÏ</t>
  </si>
  <si>
    <t>Doanh thu khoaùn kinh doanh</t>
  </si>
  <si>
    <t>Thu ñieän caùc ñieåm DV-AS</t>
  </si>
  <si>
    <t xml:space="preserve">Dòch vuï ñieän thoaïi </t>
  </si>
  <si>
    <t>Dòch vuï haøng rong</t>
  </si>
  <si>
    <t>Xe ñaäu thaùng+XB ñaäu thaùng</t>
  </si>
  <si>
    <t>BXAS - BX TP Thái Bình</t>
  </si>
  <si>
    <t>Xí nghiệp vận tải Tiến Bộ</t>
  </si>
  <si>
    <t>BX TP THÁI BÌNH</t>
  </si>
  <si>
    <t xml:space="preserve">BXAS - BX TP Thái Bình (Thái Bình) </t>
  </si>
  <si>
    <t>HTX XK Trung Nam</t>
  </si>
  <si>
    <t>BXAS - BX Phía Nam (Thừa Thiên Huế)</t>
  </si>
  <si>
    <t>Cty TNHH Phương Ty</t>
  </si>
  <si>
    <t xml:space="preserve">BXAS - BX TP Bắc Ninh (Bắc Ninh) </t>
  </si>
  <si>
    <t>BX Phía Nam (Huế)</t>
  </si>
  <si>
    <t>BX TP BẮC NINH (BẮC NINH)</t>
  </si>
  <si>
    <t xml:space="preserve">BXAS - BX TP Phía Nam (Huế) </t>
  </si>
  <si>
    <t>Công ty TNHH Phương Ty</t>
  </si>
  <si>
    <t>HTX Xe khách Trung Nam</t>
  </si>
  <si>
    <t>Thaùi Bình</t>
  </si>
  <si>
    <t>Baéc Ninh</t>
  </si>
  <si>
    <t>Doanh thu khác (Xe bỏ tài HTX TN)</t>
  </si>
  <si>
    <t>T1</t>
  </si>
  <si>
    <t>T2</t>
  </si>
  <si>
    <t>T3</t>
  </si>
  <si>
    <t>T4</t>
  </si>
  <si>
    <t>T5</t>
  </si>
  <si>
    <t>T6</t>
  </si>
  <si>
    <t>T7</t>
  </si>
  <si>
    <t xml:space="preserve"> - Lưu VT (Long)</t>
  </si>
  <si>
    <t>T8</t>
  </si>
  <si>
    <t>Công ty cổ phần VT Thiên Trang</t>
  </si>
  <si>
    <t xml:space="preserve">BXAS - BX Quãng Ngãi (Quãng Ngãi) </t>
  </si>
  <si>
    <t xml:space="preserve">BXAS - BX Quảng Ngãi ( Quãng Ngãi) </t>
  </si>
  <si>
    <t xml:space="preserve">BXAS - BX Quảng Ngãi (Quãng Ngãi) </t>
  </si>
  <si>
    <t>BÁO CÁO THỐNG KÊ SẢN LƯỢNG VÀ DOANH THU THÁNG 09/2012</t>
  </si>
  <si>
    <t>Ngày  01 tháng  10  năm  2012</t>
  </si>
  <si>
    <t>BÁO CÁO
TÌNH HÌNH SẢN XUẤT KINH DOANH THÁNG 09 NĂM 2012</t>
  </si>
  <si>
    <t>THÖÏC HIEÄN THAÙNG 9</t>
  </si>
  <si>
    <t>Ngày 01 tháng 10 năm  2012</t>
  </si>
  <si>
    <t xml:space="preserve">BX QUÃNG NGÃI ( QUÃNG NGÃI) </t>
  </si>
  <si>
    <t>Công ty cổ phần vận tải Thiên Trang</t>
  </si>
  <si>
    <t>T9</t>
  </si>
  <si>
    <t>Hệ số có khách</t>
  </si>
  <si>
    <t>Tháng 02</t>
  </si>
  <si>
    <t>Tỷ lệ % hoạt động /biểu đồ đăng ký</t>
  </si>
  <si>
    <t>Tháng 03</t>
  </si>
  <si>
    <t>KT. GIÁM ĐỐC</t>
  </si>
  <si>
    <t>PHÓ GIÁM ĐỐC</t>
  </si>
  <si>
    <t>Cty TNHH TM VT 
Minh Thùy Linh</t>
  </si>
  <si>
    <t>BÁO CÁO
TÌNH HÌNH HOẠT ĐỘNG CỦA
CÁC TUYẾN VẬN TẢI HÀNH KHÁCH</t>
  </si>
  <si>
    <t xml:space="preserve">Kính gửi: Cty TNHH TM VT Minh Thùy Linh
</t>
  </si>
  <si>
    <t xml:space="preserve"> - BGĐ</t>
  </si>
  <si>
    <t xml:space="preserve"> - P-KTTC</t>
  </si>
  <si>
    <t xml:space="preserve"> - Thu Ngân</t>
  </si>
  <si>
    <t>Tổng 
Lệ phí 
còn nợ</t>
  </si>
  <si>
    <t>Tổng 
Số chuyến 
còn nợ</t>
  </si>
  <si>
    <t xml:space="preserve"> - Lưu BX (L)</t>
  </si>
  <si>
    <t>Tháng 04</t>
  </si>
  <si>
    <t>Ngày 09  tháng  05  năm  2013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</si>
</sst>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50">
    <font>
      <sz val="10"/>
      <name val="Arial"/>
    </font>
    <font>
      <sz val="10"/>
      <name val="Arial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Times New Roman"/>
      <family val="1"/>
    </font>
    <font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imes New Roman"/>
      <family val="1"/>
    </font>
    <font>
      <b/>
      <sz val="10"/>
      <color indexed="10"/>
      <name val="Arial"/>
      <family val="2"/>
    </font>
    <font>
      <b/>
      <u/>
      <sz val="10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  <font>
      <b/>
      <i/>
      <sz val="10"/>
      <name val="Times New Roman"/>
      <family val="1"/>
    </font>
    <font>
      <b/>
      <sz val="12"/>
      <color indexed="10"/>
      <name val="Times New Roman"/>
      <family val="1"/>
    </font>
    <font>
      <sz val="12"/>
      <name val="Arial"/>
      <family val="2"/>
    </font>
    <font>
      <b/>
      <sz val="14"/>
      <name val="Times New Roman"/>
      <family val="1"/>
    </font>
    <font>
      <b/>
      <u/>
      <sz val="14"/>
      <name val="Times New Roman"/>
      <family val="1"/>
    </font>
    <font>
      <sz val="14"/>
      <name val="Arial"/>
      <family val="2"/>
    </font>
    <font>
      <b/>
      <u/>
      <sz val="9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6"/>
      <name val="Times New Roman"/>
      <family val="1"/>
    </font>
    <font>
      <sz val="10"/>
      <name val="Arial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name val="Arial"/>
      <family val="2"/>
    </font>
    <font>
      <b/>
      <u/>
      <sz val="13"/>
      <name val="Times New Roman"/>
      <family val="1"/>
    </font>
    <font>
      <b/>
      <i/>
      <sz val="14"/>
      <name val="Times New Roman"/>
      <family val="1"/>
    </font>
    <font>
      <b/>
      <sz val="13"/>
      <name val="Arial"/>
      <family val="2"/>
    </font>
    <font>
      <sz val="10"/>
      <name val="VNI-Times"/>
    </font>
    <font>
      <b/>
      <sz val="10"/>
      <name val="VNI-Times"/>
    </font>
    <font>
      <b/>
      <sz val="10"/>
      <color indexed="10"/>
      <name val="VNI-Times"/>
    </font>
    <font>
      <sz val="10"/>
      <color indexed="10"/>
      <name val="VNI-Times"/>
    </font>
    <font>
      <sz val="11"/>
      <name val="Calibri"/>
      <family val="2"/>
    </font>
    <font>
      <b/>
      <sz val="9"/>
      <name val="Times New Roman"/>
      <family val="1"/>
    </font>
    <font>
      <b/>
      <sz val="9"/>
      <name val="VNI-Times"/>
    </font>
    <font>
      <b/>
      <sz val="10"/>
      <color rgb="FFFF0000"/>
      <name val="Times New Roman"/>
      <family val="1"/>
    </font>
    <font>
      <b/>
      <sz val="10"/>
      <color rgb="FFFF0000"/>
      <name val="Arial"/>
      <family val="2"/>
    </font>
    <font>
      <b/>
      <sz val="15"/>
      <name val="Times New Roman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6" tint="0.79998168889431442"/>
        <bgColor indexed="64"/>
      </patternFill>
    </fill>
  </fills>
  <borders count="90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9" fontId="49" fillId="0" borderId="0" applyFont="0" applyFill="0" applyBorder="0" applyAlignment="0" applyProtection="0"/>
  </cellStyleXfs>
  <cellXfs count="353">
    <xf numFmtId="0" fontId="0" fillId="0" borderId="0" xfId="0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0" fillId="0" borderId="0" xfId="0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4" fillId="0" borderId="14" xfId="0" applyFont="1" applyBorder="1"/>
    <xf numFmtId="0" fontId="6" fillId="0" borderId="1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0" xfId="0" applyNumberFormat="1"/>
    <xf numFmtId="0" fontId="12" fillId="3" borderId="13" xfId="0" applyFont="1" applyFill="1" applyBorder="1"/>
    <xf numFmtId="0" fontId="12" fillId="3" borderId="16" xfId="0" applyFont="1" applyFill="1" applyBorder="1" applyAlignment="1">
      <alignment horizontal="center" vertical="center"/>
    </xf>
    <xf numFmtId="3" fontId="12" fillId="3" borderId="16" xfId="0" applyNumberFormat="1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/>
    </xf>
    <xf numFmtId="0" fontId="14" fillId="3" borderId="16" xfId="0" applyFont="1" applyFill="1" applyBorder="1" applyAlignment="1">
      <alignment horizontal="center" vertical="center"/>
    </xf>
    <xf numFmtId="3" fontId="14" fillId="3" borderId="16" xfId="0" applyNumberFormat="1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/>
    </xf>
    <xf numFmtId="0" fontId="12" fillId="3" borderId="18" xfId="0" applyFont="1" applyFill="1" applyBorder="1"/>
    <xf numFmtId="0" fontId="12" fillId="3" borderId="3" xfId="0" applyFont="1" applyFill="1" applyBorder="1"/>
    <xf numFmtId="3" fontId="3" fillId="4" borderId="19" xfId="0" applyNumberFormat="1" applyFont="1" applyFill="1" applyBorder="1" applyAlignment="1">
      <alignment horizontal="center" vertical="center"/>
    </xf>
    <xf numFmtId="3" fontId="0" fillId="0" borderId="20" xfId="0" applyNumberFormat="1" applyBorder="1" applyAlignment="1">
      <alignment horizontal="right"/>
    </xf>
    <xf numFmtId="3" fontId="12" fillId="3" borderId="20" xfId="0" applyNumberFormat="1" applyFont="1" applyFill="1" applyBorder="1" applyAlignment="1">
      <alignment horizontal="right"/>
    </xf>
    <xf numFmtId="3" fontId="12" fillId="3" borderId="16" xfId="0" applyNumberFormat="1" applyFont="1" applyFill="1" applyBorder="1" applyAlignment="1">
      <alignment horizontal="center"/>
    </xf>
    <xf numFmtId="3" fontId="0" fillId="0" borderId="21" xfId="0" applyNumberFormat="1" applyBorder="1" applyAlignment="1">
      <alignment horizontal="center" vertical="center"/>
    </xf>
    <xf numFmtId="3" fontId="12" fillId="3" borderId="21" xfId="0" applyNumberFormat="1" applyFont="1" applyFill="1" applyBorder="1" applyAlignment="1">
      <alignment horizontal="center"/>
    </xf>
    <xf numFmtId="3" fontId="14" fillId="3" borderId="21" xfId="0" applyNumberFormat="1" applyFont="1" applyFill="1" applyBorder="1" applyAlignment="1">
      <alignment horizontal="center" vertical="center"/>
    </xf>
    <xf numFmtId="3" fontId="0" fillId="0" borderId="22" xfId="0" applyNumberFormat="1" applyBorder="1" applyAlignment="1">
      <alignment horizontal="center" vertical="center"/>
    </xf>
    <xf numFmtId="3" fontId="3" fillId="4" borderId="23" xfId="0" applyNumberFormat="1" applyFont="1" applyFill="1" applyBorder="1" applyAlignment="1">
      <alignment horizontal="center" vertical="center"/>
    </xf>
    <xf numFmtId="3" fontId="3" fillId="4" borderId="24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0" fillId="3" borderId="17" xfId="0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3" fontId="0" fillId="3" borderId="25" xfId="0" applyNumberForma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26" xfId="0" applyNumberFormat="1" applyFill="1" applyBorder="1" applyAlignment="1">
      <alignment horizontal="right"/>
    </xf>
    <xf numFmtId="0" fontId="4" fillId="3" borderId="21" xfId="0" applyFont="1" applyFill="1" applyBorder="1"/>
    <xf numFmtId="0" fontId="3" fillId="0" borderId="18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3" fontId="0" fillId="0" borderId="18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18" xfId="0" applyFont="1" applyBorder="1" applyAlignment="1">
      <alignment horizontal="left" vertical="center"/>
    </xf>
    <xf numFmtId="3" fontId="0" fillId="0" borderId="5" xfId="0" applyNumberFormat="1" applyBorder="1" applyAlignment="1">
      <alignment horizontal="center" vertical="center"/>
    </xf>
    <xf numFmtId="3" fontId="0" fillId="0" borderId="18" xfId="0" applyNumberFormat="1" applyBorder="1" applyAlignment="1">
      <alignment horizontal="left" vertical="center"/>
    </xf>
    <xf numFmtId="3" fontId="4" fillId="0" borderId="5" xfId="0" applyNumberFormat="1" applyFont="1" applyBorder="1" applyAlignment="1">
      <alignment horizontal="center" vertical="center"/>
    </xf>
    <xf numFmtId="3" fontId="3" fillId="0" borderId="28" xfId="0" applyNumberFormat="1" applyFont="1" applyBorder="1" applyAlignment="1">
      <alignment horizontal="center" vertical="center"/>
    </xf>
    <xf numFmtId="3" fontId="8" fillId="0" borderId="18" xfId="0" applyNumberFormat="1" applyFont="1" applyBorder="1" applyAlignment="1">
      <alignment horizontal="left" vertical="center"/>
    </xf>
    <xf numFmtId="3" fontId="4" fillId="0" borderId="18" xfId="0" applyNumberFormat="1" applyFont="1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7" fillId="0" borderId="0" xfId="0" applyFont="1"/>
    <xf numFmtId="3" fontId="3" fillId="0" borderId="29" xfId="0" applyNumberFormat="1" applyFont="1" applyBorder="1" applyAlignment="1">
      <alignment horizontal="right" vertical="center"/>
    </xf>
    <xf numFmtId="0" fontId="3" fillId="0" borderId="29" xfId="0" applyFont="1" applyBorder="1" applyAlignment="1">
      <alignment horizontal="center" vertical="center"/>
    </xf>
    <xf numFmtId="3" fontId="0" fillId="0" borderId="29" xfId="0" applyNumberFormat="1" applyBorder="1" applyAlignment="1">
      <alignment horizontal="right" vertical="center"/>
    </xf>
    <xf numFmtId="3" fontId="3" fillId="0" borderId="30" xfId="0" applyNumberFormat="1" applyFont="1" applyBorder="1" applyAlignment="1">
      <alignment horizontal="right" vertical="center"/>
    </xf>
    <xf numFmtId="3" fontId="4" fillId="0" borderId="16" xfId="0" applyNumberFormat="1" applyFont="1" applyBorder="1" applyAlignment="1">
      <alignment vertical="center"/>
    </xf>
    <xf numFmtId="3" fontId="0" fillId="0" borderId="25" xfId="0" applyNumberFormat="1" applyBorder="1" applyAlignment="1">
      <alignment horizontal="center" vertical="center"/>
    </xf>
    <xf numFmtId="3" fontId="0" fillId="0" borderId="26" xfId="0" applyNumberFormat="1" applyBorder="1" applyAlignment="1">
      <alignment horizontal="right"/>
    </xf>
    <xf numFmtId="0" fontId="12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3" fillId="3" borderId="16" xfId="0" applyNumberFormat="1" applyFont="1" applyFill="1" applyBorder="1" applyAlignment="1">
      <alignment horizontal="center" vertical="center"/>
    </xf>
    <xf numFmtId="3" fontId="23" fillId="3" borderId="16" xfId="0" applyNumberFormat="1" applyFont="1" applyFill="1" applyBorder="1" applyAlignment="1">
      <alignment horizontal="center" vertical="center"/>
    </xf>
    <xf numFmtId="0" fontId="24" fillId="0" borderId="0" xfId="0" applyFont="1"/>
    <xf numFmtId="0" fontId="20" fillId="0" borderId="16" xfId="0" applyNumberFormat="1" applyFont="1" applyBorder="1" applyAlignment="1">
      <alignment horizontal="center" vertical="center"/>
    </xf>
    <xf numFmtId="3" fontId="20" fillId="0" borderId="16" xfId="0" applyNumberFormat="1" applyFont="1" applyBorder="1" applyAlignment="1">
      <alignment horizontal="center" vertical="center"/>
    </xf>
    <xf numFmtId="0" fontId="27" fillId="0" borderId="0" xfId="0" applyFont="1"/>
    <xf numFmtId="0" fontId="10" fillId="0" borderId="18" xfId="0" applyFont="1" applyBorder="1" applyAlignment="1">
      <alignment horizontal="center" vertical="center"/>
    </xf>
    <xf numFmtId="3" fontId="10" fillId="0" borderId="18" xfId="0" applyNumberFormat="1" applyFont="1" applyBorder="1" applyAlignment="1">
      <alignment horizontal="center" vertical="center"/>
    </xf>
    <xf numFmtId="3" fontId="24" fillId="0" borderId="0" xfId="0" applyNumberFormat="1" applyFont="1"/>
    <xf numFmtId="0" fontId="4" fillId="0" borderId="16" xfId="0" applyFont="1" applyBorder="1"/>
    <xf numFmtId="0" fontId="3" fillId="0" borderId="0" xfId="0" applyFont="1"/>
    <xf numFmtId="3" fontId="3" fillId="0" borderId="0" xfId="0" applyNumberFormat="1" applyFont="1"/>
    <xf numFmtId="0" fontId="12" fillId="0" borderId="0" xfId="0" applyFont="1"/>
    <xf numFmtId="0" fontId="3" fillId="0" borderId="0" xfId="0" applyFont="1" applyBorder="1"/>
    <xf numFmtId="0" fontId="29" fillId="0" borderId="0" xfId="0" applyFont="1"/>
    <xf numFmtId="0" fontId="4" fillId="0" borderId="0" xfId="0" applyFont="1"/>
    <xf numFmtId="3" fontId="12" fillId="0" borderId="0" xfId="0" applyNumberFormat="1" applyFont="1"/>
    <xf numFmtId="0" fontId="20" fillId="0" borderId="0" xfId="0" applyFont="1" applyBorder="1"/>
    <xf numFmtId="3" fontId="29" fillId="0" borderId="0" xfId="0" applyNumberFormat="1" applyFont="1"/>
    <xf numFmtId="0" fontId="12" fillId="0" borderId="31" xfId="0" applyFont="1" applyBorder="1" applyAlignment="1">
      <alignment horizontal="center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0" fillId="0" borderId="34" xfId="0" applyBorder="1"/>
    <xf numFmtId="3" fontId="0" fillId="0" borderId="35" xfId="0" applyNumberFormat="1" applyBorder="1"/>
    <xf numFmtId="0" fontId="0" fillId="0" borderId="36" xfId="0" applyBorder="1"/>
    <xf numFmtId="3" fontId="0" fillId="0" borderId="37" xfId="0" applyNumberFormat="1" applyBorder="1"/>
    <xf numFmtId="0" fontId="0" fillId="0" borderId="38" xfId="0" applyBorder="1"/>
    <xf numFmtId="0" fontId="0" fillId="0" borderId="39" xfId="0" applyBorder="1"/>
    <xf numFmtId="0" fontId="0" fillId="0" borderId="27" xfId="0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40" xfId="0" applyBorder="1" applyAlignment="1">
      <alignment vertical="center" wrapText="1"/>
    </xf>
    <xf numFmtId="0" fontId="0" fillId="0" borderId="0" xfId="0" applyBorder="1"/>
    <xf numFmtId="3" fontId="0" fillId="0" borderId="6" xfId="0" applyNumberFormat="1" applyBorder="1" applyAlignment="1">
      <alignment horizontal="left" vertical="center"/>
    </xf>
    <xf numFmtId="0" fontId="0" fillId="0" borderId="41" xfId="0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12" fillId="0" borderId="41" xfId="0" applyFont="1" applyBorder="1" applyAlignment="1">
      <alignment horizontal="center"/>
    </xf>
    <xf numFmtId="3" fontId="0" fillId="0" borderId="42" xfId="0" applyNumberFormat="1" applyFill="1" applyBorder="1" applyAlignment="1">
      <alignment horizontal="left" vertical="center"/>
    </xf>
    <xf numFmtId="0" fontId="0" fillId="0" borderId="43" xfId="0" applyBorder="1"/>
    <xf numFmtId="0" fontId="0" fillId="0" borderId="44" xfId="0" applyBorder="1"/>
    <xf numFmtId="0" fontId="0" fillId="0" borderId="45" xfId="0" applyBorder="1" applyAlignment="1">
      <alignment horizontal="center"/>
    </xf>
    <xf numFmtId="3" fontId="0" fillId="0" borderId="46" xfId="0" applyNumberFormat="1" applyFill="1" applyBorder="1" applyAlignment="1">
      <alignment horizontal="left" vertical="center"/>
    </xf>
    <xf numFmtId="0" fontId="0" fillId="0" borderId="47" xfId="0" applyBorder="1"/>
    <xf numFmtId="0" fontId="0" fillId="0" borderId="47" xfId="0" applyBorder="1" applyAlignment="1">
      <alignment horizontal="center"/>
    </xf>
    <xf numFmtId="3" fontId="3" fillId="0" borderId="48" xfId="0" applyNumberFormat="1" applyFont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30" fillId="0" borderId="0" xfId="0" applyFont="1" applyBorder="1"/>
    <xf numFmtId="3" fontId="3" fillId="0" borderId="0" xfId="0" applyNumberFormat="1" applyFont="1" applyBorder="1"/>
    <xf numFmtId="0" fontId="12" fillId="0" borderId="0" xfId="0" applyFont="1" applyBorder="1"/>
    <xf numFmtId="0" fontId="0" fillId="0" borderId="51" xfId="0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3" fillId="0" borderId="51" xfId="0" applyFont="1" applyBorder="1" applyAlignment="1">
      <alignment horizontal="center"/>
    </xf>
    <xf numFmtId="0" fontId="12" fillId="0" borderId="51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/>
    <xf numFmtId="3" fontId="0" fillId="0" borderId="46" xfId="0" applyNumberFormat="1" applyBorder="1" applyAlignment="1">
      <alignment horizontal="left" vertical="center"/>
    </xf>
    <xf numFmtId="0" fontId="0" fillId="0" borderId="53" xfId="0" applyBorder="1" applyAlignment="1">
      <alignment horizontal="center"/>
    </xf>
    <xf numFmtId="0" fontId="0" fillId="0" borderId="4" xfId="0" applyBorder="1"/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4" xfId="0" applyBorder="1"/>
    <xf numFmtId="0" fontId="0" fillId="0" borderId="16" xfId="0" applyBorder="1"/>
    <xf numFmtId="0" fontId="0" fillId="0" borderId="16" xfId="0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2" fillId="0" borderId="16" xfId="0" applyFont="1" applyFill="1" applyBorder="1" applyAlignment="1">
      <alignment horizontal="center" vertical="center"/>
    </xf>
    <xf numFmtId="3" fontId="32" fillId="0" borderId="21" xfId="0" applyNumberFormat="1" applyFont="1" applyFill="1" applyBorder="1" applyAlignment="1">
      <alignment horizontal="center" vertical="center"/>
    </xf>
    <xf numFmtId="0" fontId="4" fillId="0" borderId="56" xfId="0" applyFont="1" applyFill="1" applyBorder="1"/>
    <xf numFmtId="0" fontId="8" fillId="0" borderId="57" xfId="0" applyFont="1" applyBorder="1" applyAlignment="1">
      <alignment horizontal="left" vertical="center"/>
    </xf>
    <xf numFmtId="0" fontId="20" fillId="0" borderId="16" xfId="0" applyNumberFormat="1" applyFont="1" applyFill="1" applyBorder="1" applyAlignment="1">
      <alignment horizontal="center" vertical="center"/>
    </xf>
    <xf numFmtId="0" fontId="24" fillId="0" borderId="0" xfId="0" applyFont="1" applyFill="1"/>
    <xf numFmtId="3" fontId="20" fillId="0" borderId="16" xfId="0" applyNumberFormat="1" applyFont="1" applyFill="1" applyBorder="1" applyAlignment="1">
      <alignment horizontal="center" vertical="center"/>
    </xf>
    <xf numFmtId="165" fontId="0" fillId="0" borderId="49" xfId="0" applyNumberFormat="1" applyBorder="1" applyAlignment="1">
      <alignment horizontal="center"/>
    </xf>
    <xf numFmtId="0" fontId="8" fillId="0" borderId="18" xfId="0" applyFont="1" applyFill="1" applyBorder="1" applyAlignment="1">
      <alignment horizontal="left" vertical="center"/>
    </xf>
    <xf numFmtId="0" fontId="0" fillId="0" borderId="43" xfId="0" applyBorder="1" applyAlignment="1">
      <alignment horizontal="center"/>
    </xf>
    <xf numFmtId="165" fontId="0" fillId="0" borderId="56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3" fillId="0" borderId="40" xfId="0" applyFont="1" applyBorder="1" applyAlignment="1">
      <alignment horizontal="center" vertical="center"/>
    </xf>
    <xf numFmtId="3" fontId="0" fillId="0" borderId="7" xfId="0" applyNumberFormat="1" applyBorder="1" applyAlignment="1">
      <alignment vertic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vertical="center" wrapText="1"/>
    </xf>
    <xf numFmtId="0" fontId="0" fillId="0" borderId="61" xfId="0" applyBorder="1"/>
    <xf numFmtId="3" fontId="12" fillId="3" borderId="17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10" fillId="0" borderId="29" xfId="0" applyNumberFormat="1" applyFont="1" applyBorder="1" applyAlignment="1">
      <alignment horizontal="center" vertical="center"/>
    </xf>
    <xf numFmtId="3" fontId="0" fillId="0" borderId="0" xfId="0" applyNumberFormat="1" applyBorder="1"/>
    <xf numFmtId="0" fontId="3" fillId="0" borderId="56" xfId="0" applyFont="1" applyBorder="1" applyAlignment="1">
      <alignment horizontal="center"/>
    </xf>
    <xf numFmtId="3" fontId="3" fillId="0" borderId="35" xfId="0" applyNumberFormat="1" applyFont="1" applyBorder="1"/>
    <xf numFmtId="0" fontId="3" fillId="0" borderId="62" xfId="0" applyFont="1" applyBorder="1" applyAlignment="1">
      <alignment horizontal="center"/>
    </xf>
    <xf numFmtId="3" fontId="3" fillId="0" borderId="63" xfId="0" applyNumberFormat="1" applyFont="1" applyBorder="1"/>
    <xf numFmtId="164" fontId="3" fillId="0" borderId="28" xfId="0" applyNumberFormat="1" applyFont="1" applyBorder="1" applyAlignment="1">
      <alignment horizontal="center" vertical="center"/>
    </xf>
    <xf numFmtId="16" fontId="7" fillId="0" borderId="0" xfId="0" applyNumberFormat="1" applyFont="1"/>
    <xf numFmtId="0" fontId="33" fillId="0" borderId="0" xfId="0" applyFont="1" applyAlignment="1">
      <alignment horizontal="center" vertical="center"/>
    </xf>
    <xf numFmtId="0" fontId="35" fillId="0" borderId="0" xfId="0" applyFont="1"/>
    <xf numFmtId="0" fontId="33" fillId="0" borderId="0" xfId="0" applyFont="1" applyAlignment="1">
      <alignment horizontal="center"/>
    </xf>
    <xf numFmtId="0" fontId="38" fillId="0" borderId="0" xfId="0" applyFont="1"/>
    <xf numFmtId="0" fontId="39" fillId="0" borderId="0" xfId="0" applyFont="1"/>
    <xf numFmtId="0" fontId="40" fillId="0" borderId="16" xfId="0" applyFont="1" applyBorder="1" applyAlignment="1">
      <alignment horizontal="center"/>
    </xf>
    <xf numFmtId="0" fontId="40" fillId="0" borderId="16" xfId="0" applyFont="1" applyBorder="1"/>
    <xf numFmtId="0" fontId="39" fillId="0" borderId="16" xfId="0" applyFont="1" applyBorder="1"/>
    <xf numFmtId="3" fontId="39" fillId="0" borderId="0" xfId="0" applyNumberFormat="1" applyFont="1"/>
    <xf numFmtId="0" fontId="39" fillId="0" borderId="16" xfId="0" applyFont="1" applyBorder="1" applyAlignment="1">
      <alignment horizontal="center"/>
    </xf>
    <xf numFmtId="3" fontId="39" fillId="0" borderId="16" xfId="0" applyNumberFormat="1" applyFont="1" applyBorder="1"/>
    <xf numFmtId="164" fontId="39" fillId="0" borderId="16" xfId="0" applyNumberFormat="1" applyFont="1" applyBorder="1"/>
    <xf numFmtId="3" fontId="40" fillId="0" borderId="16" xfId="0" applyNumberFormat="1" applyFont="1" applyBorder="1"/>
    <xf numFmtId="0" fontId="33" fillId="0" borderId="0" xfId="0" applyFont="1"/>
    <xf numFmtId="0" fontId="19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33" fillId="0" borderId="0" xfId="0" applyFont="1" applyBorder="1"/>
    <xf numFmtId="0" fontId="20" fillId="0" borderId="0" xfId="0" applyFont="1"/>
    <xf numFmtId="3" fontId="33" fillId="0" borderId="0" xfId="0" applyNumberFormat="1" applyFont="1"/>
    <xf numFmtId="3" fontId="7" fillId="0" borderId="0" xfId="0" applyNumberFormat="1" applyFont="1"/>
    <xf numFmtId="3" fontId="40" fillId="0" borderId="0" xfId="0" applyNumberFormat="1" applyFont="1"/>
    <xf numFmtId="0" fontId="40" fillId="0" borderId="0" xfId="0" applyFont="1"/>
    <xf numFmtId="0" fontId="42" fillId="0" borderId="0" xfId="0" applyFont="1"/>
    <xf numFmtId="0" fontId="41" fillId="0" borderId="0" xfId="0" applyFont="1"/>
    <xf numFmtId="0" fontId="6" fillId="0" borderId="18" xfId="0" applyFont="1" applyBorder="1" applyAlignment="1">
      <alignment horizontal="left" vertical="center"/>
    </xf>
    <xf numFmtId="0" fontId="4" fillId="0" borderId="64" xfId="0" applyFont="1" applyFill="1" applyBorder="1"/>
    <xf numFmtId="0" fontId="4" fillId="0" borderId="45" xfId="0" applyFont="1" applyFill="1" applyBorder="1"/>
    <xf numFmtId="0" fontId="0" fillId="0" borderId="65" xfId="0" applyBorder="1" applyAlignment="1">
      <alignment horizontal="center" vertical="center"/>
    </xf>
    <xf numFmtId="3" fontId="0" fillId="0" borderId="65" xfId="0" applyNumberFormat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3" fontId="12" fillId="5" borderId="16" xfId="0" applyNumberFormat="1" applyFont="1" applyFill="1" applyBorder="1" applyAlignment="1">
      <alignment horizontal="center" vertical="center"/>
    </xf>
    <xf numFmtId="0" fontId="46" fillId="5" borderId="5" xfId="0" applyFont="1" applyFill="1" applyBorder="1" applyAlignment="1">
      <alignment horizontal="center"/>
    </xf>
    <xf numFmtId="0" fontId="47" fillId="5" borderId="13" xfId="0" applyFont="1" applyFill="1" applyBorder="1"/>
    <xf numFmtId="0" fontId="43" fillId="0" borderId="16" xfId="0" applyFont="1" applyBorder="1" applyAlignment="1">
      <alignment horizontal="center" vertical="center"/>
    </xf>
    <xf numFmtId="0" fontId="43" fillId="0" borderId="29" xfId="0" applyFont="1" applyBorder="1" applyAlignment="1">
      <alignment horizontal="center" vertical="center"/>
    </xf>
    <xf numFmtId="3" fontId="3" fillId="0" borderId="16" xfId="0" applyNumberFormat="1" applyFont="1" applyBorder="1" applyAlignment="1">
      <alignment horizontal="center" vertical="center"/>
    </xf>
    <xf numFmtId="3" fontId="12" fillId="3" borderId="20" xfId="0" applyNumberFormat="1" applyFont="1" applyFill="1" applyBorder="1" applyAlignment="1">
      <alignment horizontal="center"/>
    </xf>
    <xf numFmtId="3" fontId="12" fillId="3" borderId="66" xfId="0" applyNumberFormat="1" applyFont="1" applyFill="1" applyBorder="1" applyAlignment="1">
      <alignment horizontal="center" vertical="center"/>
    </xf>
    <xf numFmtId="3" fontId="12" fillId="5" borderId="29" xfId="0" applyNumberFormat="1" applyFont="1" applyFill="1" applyBorder="1" applyAlignment="1">
      <alignment horizontal="center" vertical="center"/>
    </xf>
    <xf numFmtId="3" fontId="14" fillId="3" borderId="29" xfId="0" applyNumberFormat="1" applyFont="1" applyFill="1" applyBorder="1" applyAlignment="1">
      <alignment horizontal="center" vertical="center"/>
    </xf>
    <xf numFmtId="3" fontId="3" fillId="0" borderId="18" xfId="0" applyNumberFormat="1" applyFont="1" applyBorder="1" applyAlignment="1">
      <alignment horizontal="right" vertical="center"/>
    </xf>
    <xf numFmtId="0" fontId="20" fillId="0" borderId="0" xfId="0" applyNumberFormat="1" applyFont="1" applyBorder="1" applyAlignment="1">
      <alignment horizontal="center" vertical="center"/>
    </xf>
    <xf numFmtId="3" fontId="20" fillId="0" borderId="0" xfId="0" applyNumberFormat="1" applyFont="1" applyBorder="1" applyAlignment="1">
      <alignment horizontal="center" vertical="center"/>
    </xf>
    <xf numFmtId="3" fontId="0" fillId="0" borderId="18" xfId="0" applyNumberFormat="1" applyBorder="1" applyAlignment="1">
      <alignment vertical="center"/>
    </xf>
    <xf numFmtId="3" fontId="0" fillId="0" borderId="21" xfId="0" applyNumberFormat="1" applyBorder="1" applyAlignment="1">
      <alignment vertical="center"/>
    </xf>
    <xf numFmtId="3" fontId="4" fillId="0" borderId="18" xfId="0" applyNumberFormat="1" applyFont="1" applyBorder="1" applyAlignment="1">
      <alignment vertical="center"/>
    </xf>
    <xf numFmtId="3" fontId="4" fillId="0" borderId="21" xfId="0" applyNumberFormat="1" applyFont="1" applyBorder="1" applyAlignment="1">
      <alignment vertical="center"/>
    </xf>
    <xf numFmtId="3" fontId="38" fillId="0" borderId="18" xfId="0" applyNumberFormat="1" applyFont="1" applyBorder="1" applyAlignment="1">
      <alignment vertical="center"/>
    </xf>
    <xf numFmtId="3" fontId="38" fillId="0" borderId="21" xfId="0" applyNumberFormat="1" applyFont="1" applyBorder="1" applyAlignment="1">
      <alignment vertical="center"/>
    </xf>
    <xf numFmtId="0" fontId="7" fillId="0" borderId="16" xfId="0" applyFont="1" applyBorder="1"/>
    <xf numFmtId="165" fontId="40" fillId="0" borderId="16" xfId="0" applyNumberFormat="1" applyFont="1" applyBorder="1"/>
    <xf numFmtId="165" fontId="39" fillId="0" borderId="16" xfId="0" applyNumberFormat="1" applyFont="1" applyBorder="1"/>
    <xf numFmtId="3" fontId="44" fillId="0" borderId="0" xfId="0" applyNumberFormat="1" applyFont="1"/>
    <xf numFmtId="3" fontId="45" fillId="0" borderId="0" xfId="0" applyNumberFormat="1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 vertical="center"/>
    </xf>
    <xf numFmtId="0" fontId="1" fillId="0" borderId="45" xfId="0" applyFont="1" applyFill="1" applyBorder="1"/>
    <xf numFmtId="0" fontId="20" fillId="0" borderId="0" xfId="0" applyFont="1" applyBorder="1" applyAlignment="1">
      <alignment horizontal="center"/>
    </xf>
    <xf numFmtId="0" fontId="20" fillId="0" borderId="16" xfId="0" applyFont="1" applyFill="1" applyBorder="1" applyAlignment="1">
      <alignment horizontal="center"/>
    </xf>
    <xf numFmtId="0" fontId="20" fillId="0" borderId="16" xfId="0" applyFont="1" applyBorder="1" applyAlignment="1">
      <alignment horizontal="center"/>
    </xf>
    <xf numFmtId="3" fontId="20" fillId="3" borderId="16" xfId="0" applyNumberFormat="1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/>
    </xf>
    <xf numFmtId="2" fontId="20" fillId="0" borderId="16" xfId="0" applyNumberFormat="1" applyFont="1" applyBorder="1" applyAlignment="1">
      <alignment horizontal="center"/>
    </xf>
    <xf numFmtId="3" fontId="20" fillId="0" borderId="19" xfId="0" applyNumberFormat="1" applyFont="1" applyBorder="1" applyAlignment="1">
      <alignment horizontal="center" vertical="center"/>
    </xf>
    <xf numFmtId="3" fontId="18" fillId="0" borderId="16" xfId="0" applyNumberFormat="1" applyFont="1" applyBorder="1" applyAlignment="1">
      <alignment horizontal="center" vertical="center"/>
    </xf>
    <xf numFmtId="3" fontId="18" fillId="0" borderId="19" xfId="0" applyNumberFormat="1" applyFont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3" fontId="20" fillId="0" borderId="16" xfId="0" applyNumberFormat="1" applyFont="1" applyBorder="1" applyAlignment="1">
      <alignment horizontal="center"/>
    </xf>
    <xf numFmtId="3" fontId="20" fillId="0" borderId="29" xfId="0" applyNumberFormat="1" applyFont="1" applyBorder="1"/>
    <xf numFmtId="3" fontId="18" fillId="3" borderId="16" xfId="0" applyNumberFormat="1" applyFont="1" applyFill="1" applyBorder="1" applyAlignment="1">
      <alignment horizontal="center"/>
    </xf>
    <xf numFmtId="0" fontId="23" fillId="3" borderId="5" xfId="0" applyFont="1" applyFill="1" applyBorder="1" applyAlignment="1">
      <alignment horizontal="left" vertical="center"/>
    </xf>
    <xf numFmtId="0" fontId="24" fillId="0" borderId="16" xfId="0" applyFont="1" applyBorder="1"/>
    <xf numFmtId="3" fontId="24" fillId="0" borderId="29" xfId="0" applyNumberFormat="1" applyFont="1" applyBorder="1"/>
    <xf numFmtId="0" fontId="20" fillId="0" borderId="5" xfId="0" applyFont="1" applyBorder="1"/>
    <xf numFmtId="0" fontId="23" fillId="3" borderId="5" xfId="0" applyFont="1" applyFill="1" applyBorder="1"/>
    <xf numFmtId="0" fontId="20" fillId="0" borderId="5" xfId="0" applyFont="1" applyFill="1" applyBorder="1"/>
    <xf numFmtId="0" fontId="7" fillId="0" borderId="5" xfId="0" applyFont="1" applyBorder="1"/>
    <xf numFmtId="0" fontId="23" fillId="3" borderId="5" xfId="0" applyFont="1" applyFill="1" applyBorder="1" applyAlignment="1">
      <alignment horizontal="center" vertical="center" wrapText="1"/>
    </xf>
    <xf numFmtId="3" fontId="23" fillId="3" borderId="29" xfId="0" applyNumberFormat="1" applyFont="1" applyFill="1" applyBorder="1" applyAlignment="1">
      <alignment horizontal="center" vertical="center"/>
    </xf>
    <xf numFmtId="3" fontId="20" fillId="0" borderId="16" xfId="0" applyNumberFormat="1" applyFont="1" applyBorder="1"/>
    <xf numFmtId="3" fontId="18" fillId="0" borderId="29" xfId="0" applyNumberFormat="1" applyFont="1" applyBorder="1"/>
    <xf numFmtId="3" fontId="18" fillId="0" borderId="30" xfId="0" applyNumberFormat="1" applyFont="1" applyBorder="1"/>
    <xf numFmtId="0" fontId="20" fillId="0" borderId="0" xfId="0" applyFont="1" applyBorder="1" applyAlignment="1"/>
    <xf numFmtId="0" fontId="34" fillId="0" borderId="0" xfId="0" applyFont="1" applyAlignment="1"/>
    <xf numFmtId="0" fontId="21" fillId="0" borderId="16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18" fillId="0" borderId="19" xfId="1" applyNumberFormat="1" applyFont="1" applyBorder="1" applyAlignment="1">
      <alignment horizontal="center" vertical="center"/>
    </xf>
    <xf numFmtId="0" fontId="34" fillId="0" borderId="0" xfId="0" applyFont="1" applyAlignment="1">
      <alignment horizontal="center"/>
    </xf>
    <xf numFmtId="0" fontId="31" fillId="0" borderId="0" xfId="0" applyFont="1" applyAlignment="1">
      <alignment horizontal="center" vertical="center" wrapText="1"/>
    </xf>
    <xf numFmtId="0" fontId="48" fillId="0" borderId="0" xfId="0" applyFont="1" applyAlignment="1">
      <alignment horizontal="center" vertical="center" wrapText="1"/>
    </xf>
    <xf numFmtId="0" fontId="21" fillId="0" borderId="55" xfId="0" applyFont="1" applyBorder="1" applyAlignment="1">
      <alignment horizontal="center" vertical="center" wrapText="1"/>
    </xf>
    <xf numFmtId="0" fontId="21" fillId="0" borderId="29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0" fillId="0" borderId="0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/>
    </xf>
    <xf numFmtId="0" fontId="21" fillId="0" borderId="54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/>
    </xf>
    <xf numFmtId="0" fontId="21" fillId="0" borderId="16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/>
    </xf>
    <xf numFmtId="0" fontId="40" fillId="0" borderId="16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/>
    </xf>
    <xf numFmtId="0" fontId="36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3" fontId="4" fillId="0" borderId="13" xfId="0" applyNumberFormat="1" applyFont="1" applyBorder="1" applyAlignment="1">
      <alignment horizontal="center" vertical="center"/>
    </xf>
    <xf numFmtId="3" fontId="4" fillId="0" borderId="2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69" xfId="0" applyFont="1" applyBorder="1" applyAlignment="1">
      <alignment horizontal="left"/>
    </xf>
    <xf numFmtId="0" fontId="3" fillId="0" borderId="7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0" fillId="0" borderId="72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3" fillId="0" borderId="74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3" fontId="4" fillId="0" borderId="18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/>
    </xf>
    <xf numFmtId="3" fontId="11" fillId="0" borderId="67" xfId="0" applyNumberFormat="1" applyFont="1" applyBorder="1" applyAlignment="1">
      <alignment horizontal="center" vertical="center"/>
    </xf>
    <xf numFmtId="3" fontId="11" fillId="0" borderId="25" xfId="0" applyNumberFormat="1" applyFont="1" applyBorder="1" applyAlignment="1">
      <alignment horizontal="center" vertical="center"/>
    </xf>
    <xf numFmtId="3" fontId="11" fillId="0" borderId="22" xfId="0" applyNumberFormat="1" applyFont="1" applyBorder="1" applyAlignment="1">
      <alignment horizontal="center" vertical="center"/>
    </xf>
    <xf numFmtId="3" fontId="11" fillId="0" borderId="68" xfId="0" applyNumberFormat="1" applyFont="1" applyBorder="1" applyAlignment="1">
      <alignment horizontal="center" vertical="center"/>
    </xf>
    <xf numFmtId="3" fontId="11" fillId="0" borderId="69" xfId="0" applyNumberFormat="1" applyFont="1" applyBorder="1" applyAlignment="1">
      <alignment horizontal="center" vertical="center"/>
    </xf>
    <xf numFmtId="3" fontId="11" fillId="0" borderId="70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3" fontId="0" fillId="0" borderId="78" xfId="0" applyNumberFormat="1" applyBorder="1" applyAlignment="1">
      <alignment horizontal="center"/>
    </xf>
    <xf numFmtId="3" fontId="0" fillId="0" borderId="79" xfId="0" applyNumberFormat="1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6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87" xfId="0" applyBorder="1" applyAlignment="1">
      <alignment horizontal="center"/>
    </xf>
    <xf numFmtId="3" fontId="0" fillId="0" borderId="88" xfId="0" applyNumberFormat="1" applyBorder="1" applyAlignment="1">
      <alignment horizontal="center"/>
    </xf>
    <xf numFmtId="3" fontId="0" fillId="0" borderId="89" xfId="0" applyNumberFormat="1" applyBorder="1" applyAlignment="1">
      <alignment horizontal="center"/>
    </xf>
    <xf numFmtId="3" fontId="4" fillId="0" borderId="78" xfId="0" applyNumberFormat="1" applyFont="1" applyBorder="1" applyAlignment="1">
      <alignment horizontal="center"/>
    </xf>
    <xf numFmtId="3" fontId="4" fillId="0" borderId="79" xfId="0" applyNumberFormat="1" applyFont="1" applyBorder="1" applyAlignment="1">
      <alignment horizontal="center"/>
    </xf>
    <xf numFmtId="3" fontId="0" fillId="0" borderId="80" xfId="0" applyNumberFormat="1" applyBorder="1" applyAlignment="1">
      <alignment horizontal="center"/>
    </xf>
    <xf numFmtId="3" fontId="0" fillId="0" borderId="81" xfId="0" applyNumberFormat="1" applyBorder="1" applyAlignment="1">
      <alignment horizontal="center"/>
    </xf>
    <xf numFmtId="3" fontId="0" fillId="0" borderId="82" xfId="0" applyNumberFormat="1" applyBorder="1" applyAlignment="1">
      <alignment horizontal="center"/>
    </xf>
    <xf numFmtId="3" fontId="0" fillId="0" borderId="83" xfId="0" applyNumberFormat="1" applyBorder="1" applyAlignment="1">
      <alignment horizontal="center"/>
    </xf>
    <xf numFmtId="3" fontId="0" fillId="0" borderId="43" xfId="0" applyNumberFormat="1" applyBorder="1" applyAlignment="1">
      <alignment horizontal="center"/>
    </xf>
    <xf numFmtId="3" fontId="1" fillId="0" borderId="78" xfId="0" applyNumberFormat="1" applyFont="1" applyBorder="1" applyAlignment="1">
      <alignment horizontal="center"/>
    </xf>
    <xf numFmtId="3" fontId="1" fillId="0" borderId="79" xfId="0" applyNumberFormat="1" applyFont="1" applyBorder="1" applyAlignment="1">
      <alignment horizontal="center"/>
    </xf>
    <xf numFmtId="3" fontId="0" fillId="0" borderId="84" xfId="0" applyNumberFormat="1" applyBorder="1" applyAlignment="1">
      <alignment horizontal="center"/>
    </xf>
    <xf numFmtId="3" fontId="0" fillId="0" borderId="85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771525</xdr:colOff>
      <xdr:row>3</xdr:row>
      <xdr:rowOff>66675</xdr:rowOff>
    </xdr:from>
    <xdr:to>
      <xdr:col>0</xdr:col>
      <xdr:colOff>1876425</xdr:colOff>
      <xdr:row>3</xdr:row>
      <xdr:rowOff>68263</xdr:rowOff>
    </xdr:to>
    <xdr:cxnSp macro="">
      <xdr:nvCxnSpPr>
        <xdr:cNvPr id="3" name="Straight Connector 2"/>
        <xdr:cNvCxnSpPr/>
      </xdr:nvCxnSpPr>
      <xdr:spPr>
        <a:xfrm>
          <a:off x="1095375" y="742950"/>
          <a:ext cx="110490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257175</xdr:colOff>
      <xdr:row>2</xdr:row>
      <xdr:rowOff>28575</xdr:rowOff>
    </xdr:from>
    <xdr:to>
      <xdr:col>11</xdr:col>
      <xdr:colOff>485775</xdr:colOff>
      <xdr:row>2</xdr:row>
      <xdr:rowOff>30163</xdr:rowOff>
    </xdr:to>
    <xdr:cxnSp macro="">
      <xdr:nvCxnSpPr>
        <xdr:cNvPr id="5" name="Straight Connector 4"/>
        <xdr:cNvCxnSpPr/>
      </xdr:nvCxnSpPr>
      <xdr:spPr>
        <a:xfrm>
          <a:off x="5762625" y="466725"/>
          <a:ext cx="22098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BANG%20THEO%20DOI%20SL%20&amp;%20DT%202011/Thang%2001%20nam%20201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NG%20THEO%20DOI%20SL%20&amp;%20DT%202012/BANG%20THEO%20DOI%20SL%20&amp;%20DT%202011/Thang%2002%20nam%2020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ÁO CÁO SGTVT"/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/>
      <sheetData sheetId="1" refreshError="1">
        <row r="7">
          <cell r="E7">
            <v>697</v>
          </cell>
        </row>
        <row r="8">
          <cell r="E8">
            <v>2015</v>
          </cell>
        </row>
        <row r="9">
          <cell r="E9">
            <v>1911</v>
          </cell>
        </row>
        <row r="10">
          <cell r="E10">
            <v>24</v>
          </cell>
        </row>
        <row r="11">
          <cell r="E11">
            <v>34</v>
          </cell>
        </row>
        <row r="12">
          <cell r="E12">
            <v>32</v>
          </cell>
        </row>
        <row r="13">
          <cell r="E13">
            <v>396</v>
          </cell>
        </row>
        <row r="14">
          <cell r="E14">
            <v>538</v>
          </cell>
        </row>
        <row r="15">
          <cell r="E15">
            <v>399</v>
          </cell>
        </row>
        <row r="16">
          <cell r="E16">
            <v>81</v>
          </cell>
        </row>
        <row r="17">
          <cell r="E17">
            <v>0</v>
          </cell>
        </row>
        <row r="18">
          <cell r="E18">
            <v>16</v>
          </cell>
        </row>
        <row r="19">
          <cell r="E19">
            <v>69</v>
          </cell>
        </row>
        <row r="21">
          <cell r="E21">
            <v>159</v>
          </cell>
        </row>
        <row r="22">
          <cell r="E22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ÁO CÁO THÁNG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</sheetNames>
    <sheetDataSet>
      <sheetData sheetId="0" refreshError="1">
        <row r="7">
          <cell r="E7">
            <v>482</v>
          </cell>
        </row>
        <row r="8">
          <cell r="E8">
            <v>1899</v>
          </cell>
        </row>
        <row r="9">
          <cell r="E9">
            <v>2078</v>
          </cell>
        </row>
        <row r="10">
          <cell r="E10">
            <v>15</v>
          </cell>
        </row>
        <row r="11">
          <cell r="E11">
            <v>31</v>
          </cell>
        </row>
        <row r="12">
          <cell r="E12">
            <v>26</v>
          </cell>
        </row>
        <row r="13">
          <cell r="E13">
            <v>357</v>
          </cell>
        </row>
        <row r="14">
          <cell r="E14">
            <v>471</v>
          </cell>
        </row>
        <row r="15">
          <cell r="E15">
            <v>359</v>
          </cell>
        </row>
        <row r="16">
          <cell r="E16">
            <v>63</v>
          </cell>
        </row>
        <row r="17">
          <cell r="E17">
            <v>0</v>
          </cell>
        </row>
        <row r="18">
          <cell r="E18">
            <v>12</v>
          </cell>
        </row>
        <row r="19">
          <cell r="E19">
            <v>42</v>
          </cell>
        </row>
        <row r="21">
          <cell r="E21">
            <v>122</v>
          </cell>
        </row>
        <row r="22">
          <cell r="E22">
            <v>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66"/>
  <sheetViews>
    <sheetView tabSelected="1" topLeftCell="A56" workbookViewId="0">
      <selection activeCell="F66" sqref="F66"/>
    </sheetView>
  </sheetViews>
  <sheetFormatPr defaultRowHeight="12.75"/>
  <cols>
    <col min="1" max="1" width="28.85546875" customWidth="1"/>
    <col min="2" max="2" width="8.5703125" customWidth="1"/>
    <col min="5" max="5" width="8.42578125" customWidth="1"/>
    <col min="6" max="6" width="8.7109375" bestFit="1" customWidth="1"/>
    <col min="7" max="7" width="9.7109375" bestFit="1" customWidth="1"/>
    <col min="8" max="8" width="10.7109375" customWidth="1"/>
    <col min="9" max="9" width="9.28515625" hidden="1" customWidth="1"/>
    <col min="10" max="10" width="9.28515625" customWidth="1"/>
    <col min="11" max="11" width="9.7109375" customWidth="1"/>
    <col min="13" max="13" width="11.42578125" bestFit="1" customWidth="1"/>
  </cols>
  <sheetData>
    <row r="1" spans="1:14" s="89" customFormat="1" ht="15.75" customHeight="1">
      <c r="A1" s="279" t="s">
        <v>149</v>
      </c>
      <c r="B1" s="279"/>
      <c r="D1" s="246"/>
      <c r="E1" s="246"/>
      <c r="G1" s="280" t="s">
        <v>67</v>
      </c>
      <c r="H1" s="280"/>
      <c r="I1" s="280"/>
      <c r="J1" s="280"/>
      <c r="K1" s="280"/>
      <c r="L1" s="280"/>
      <c r="M1" s="280"/>
    </row>
    <row r="2" spans="1:14" s="92" customFormat="1" ht="18.75">
      <c r="A2" s="278" t="s">
        <v>148</v>
      </c>
      <c r="B2" s="278"/>
      <c r="G2" s="276" t="s">
        <v>69</v>
      </c>
      <c r="H2" s="276"/>
      <c r="I2" s="276"/>
      <c r="J2" s="276"/>
      <c r="K2" s="276"/>
      <c r="L2" s="276"/>
      <c r="M2" s="276"/>
      <c r="N2" s="247"/>
    </row>
    <row r="3" spans="1:14" ht="18.75">
      <c r="A3" s="276" t="s">
        <v>68</v>
      </c>
      <c r="B3" s="276"/>
      <c r="C3" s="82"/>
      <c r="D3" s="82"/>
      <c r="E3" s="82"/>
      <c r="F3" s="82"/>
      <c r="G3" s="82"/>
      <c r="H3" s="82"/>
      <c r="I3" s="82"/>
      <c r="J3" s="82"/>
      <c r="K3" s="82"/>
    </row>
    <row r="4" spans="1:14" ht="64.5" customHeight="1">
      <c r="A4" s="272" t="s">
        <v>253</v>
      </c>
      <c r="B4" s="272"/>
      <c r="C4" s="272"/>
      <c r="D4" s="272"/>
      <c r="E4" s="272"/>
      <c r="F4" s="272"/>
      <c r="G4" s="272"/>
      <c r="H4" s="272"/>
      <c r="I4" s="272"/>
      <c r="J4" s="272"/>
      <c r="K4" s="272"/>
      <c r="L4" s="272"/>
      <c r="M4" s="272"/>
    </row>
    <row r="5" spans="1:14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</row>
    <row r="6" spans="1:14" ht="19.5" customHeight="1">
      <c r="A6" s="273" t="s">
        <v>254</v>
      </c>
      <c r="B6" s="273"/>
      <c r="C6" s="273"/>
      <c r="D6" s="273"/>
      <c r="E6" s="273"/>
      <c r="F6" s="273"/>
      <c r="G6" s="273"/>
      <c r="H6" s="273"/>
      <c r="I6" s="273"/>
      <c r="J6" s="273"/>
      <c r="K6" s="273"/>
      <c r="L6" s="273"/>
      <c r="M6" s="273"/>
    </row>
    <row r="7" spans="1:14" ht="13.5" thickBot="1">
      <c r="A7" s="83"/>
      <c r="B7" s="83"/>
      <c r="C7" s="83"/>
      <c r="D7" s="83"/>
      <c r="E7" s="83"/>
      <c r="F7" s="83"/>
      <c r="G7" s="83"/>
      <c r="H7" s="83"/>
      <c r="I7" s="83"/>
      <c r="J7" s="83"/>
      <c r="K7" s="84"/>
    </row>
    <row r="8" spans="1:14" ht="15" customHeight="1" thickTop="1">
      <c r="A8" s="281" t="s">
        <v>98</v>
      </c>
      <c r="B8" s="283" t="s">
        <v>99</v>
      </c>
      <c r="C8" s="283"/>
      <c r="D8" s="283"/>
      <c r="E8" s="283" t="s">
        <v>100</v>
      </c>
      <c r="F8" s="283"/>
      <c r="G8" s="283"/>
      <c r="H8" s="283"/>
      <c r="I8" s="284" t="s">
        <v>246</v>
      </c>
      <c r="J8" s="284" t="s">
        <v>248</v>
      </c>
      <c r="K8" s="284" t="s">
        <v>126</v>
      </c>
      <c r="L8" s="284" t="s">
        <v>259</v>
      </c>
      <c r="M8" s="274" t="s">
        <v>258</v>
      </c>
    </row>
    <row r="9" spans="1:14" ht="57">
      <c r="A9" s="282"/>
      <c r="B9" s="265" t="s">
        <v>101</v>
      </c>
      <c r="C9" s="265" t="s">
        <v>102</v>
      </c>
      <c r="D9" s="265" t="s">
        <v>103</v>
      </c>
      <c r="E9" s="265" t="s">
        <v>101</v>
      </c>
      <c r="F9" s="265" t="s">
        <v>102</v>
      </c>
      <c r="G9" s="265" t="s">
        <v>103</v>
      </c>
      <c r="H9" s="265" t="s">
        <v>104</v>
      </c>
      <c r="I9" s="286"/>
      <c r="J9" s="286"/>
      <c r="K9" s="285"/>
      <c r="L9" s="285"/>
      <c r="M9" s="275"/>
    </row>
    <row r="10" spans="1:14" s="89" customFormat="1" ht="15" hidden="1" customHeight="1">
      <c r="A10" s="251" t="s">
        <v>106</v>
      </c>
      <c r="B10" s="87">
        <f t="shared" ref="B10:H10" si="0">B11+B12+B13+B14+B15+B16+B17</f>
        <v>122</v>
      </c>
      <c r="C10" s="87">
        <f t="shared" si="0"/>
        <v>2298</v>
      </c>
      <c r="D10" s="87">
        <f t="shared" si="0"/>
        <v>1740</v>
      </c>
      <c r="E10" s="87">
        <f t="shared" si="0"/>
        <v>111</v>
      </c>
      <c r="F10" s="88">
        <f t="shared" si="0"/>
        <v>34256</v>
      </c>
      <c r="G10" s="88">
        <f t="shared" si="0"/>
        <v>1988</v>
      </c>
      <c r="H10" s="88">
        <f t="shared" si="0"/>
        <v>32237</v>
      </c>
      <c r="I10" s="87"/>
      <c r="J10" s="87"/>
      <c r="K10" s="241"/>
      <c r="L10" s="252"/>
      <c r="M10" s="253">
        <f t="shared" ref="M10:M49" si="1">F10-G10-H10</f>
        <v>31</v>
      </c>
      <c r="N10" s="95"/>
    </row>
    <row r="11" spans="1:14" s="89" customFormat="1" ht="15" hidden="1" customHeight="1">
      <c r="A11" s="254" t="s">
        <v>3</v>
      </c>
      <c r="B11" s="90">
        <v>33</v>
      </c>
      <c r="C11" s="90">
        <v>537</v>
      </c>
      <c r="D11" s="90">
        <f>K11*30</f>
        <v>720</v>
      </c>
      <c r="E11" s="90">
        <v>28</v>
      </c>
      <c r="F11" s="91">
        <f>'01'!I9+'02'!I9+'03'!I9+'04'!I9+'05'!I9+'06'!I9+'07'!I9+'08'!I9+'09'!I9+'10'!I9+'11'!I9+'12'!I9+'13'!I9+'14'!I9+'15'!I9+'16'!I9+'17'!I9+'18'!I9+'19'!I9+'20'!I9+'21'!I9+'22'!I9+'23'!I9+'24'!I9+'25'!I9+'26'!I9+'27'!I9+'28'!I9+'29'!I9+'30'!I9+'31'!I9+'01'!I14+'02'!I14+'03'!I14+'04'!I14+'05'!I14+'06'!I14+'07'!I14+'08'!I14+'09'!I14+'10'!I14+'11'!I14+'12'!I14+'13'!I14+'14'!I14+'15'!I14+'16'!I14+'17'!I14+'18'!I14+'19'!I14+'20'!I14+'21'!I14+'22'!I14+'23'!I14+'24'!I14+'25'!I14+'26'!I14+'27'!I14+'28'!I14+'29'!I14+'30'!I14+'31'!I14</f>
        <v>14032</v>
      </c>
      <c r="G11" s="91">
        <f>'01'!E9+'01'!E14+'02'!E9+'02'!E14+'03'!E9+'03'!E14+'04'!E9+'04'!E14+'05'!E9+'05'!E14+'06'!E9+'06'!E14+'07'!E9+'07'!E14+'08'!E9+'08'!E14+'09'!E9+'09'!E14+'10'!E9+'10'!E14+'11'!E9+'11'!E14+'12'!E9+'12'!E14+'13'!E9+'13'!E14+'14'!E9+'14'!E14+'15'!E9+'15'!E14+'16'!E9+'16'!E14+'17'!E9+'17'!E14+'18'!E9+'18'!E14+'19'!E9+'19'!E14+'20'!E9+'20'!E14+'21'!E9+'21'!E14+'22'!E9+'22'!E14+'23'!E9+'23'!E14+'24'!E9+'24'!E14+'25'!E9+'25'!E14+'26'!E9+'26'!E14+'27'!E9+'27'!E14+'28'!E9+'28'!E14+'29'!E9+'29'!E14+'30'!E9+'30'!E14+'31'!E9+'31'!E14</f>
        <v>858</v>
      </c>
      <c r="H11" s="91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+'01'!H9+'02'!H9+'03'!H9+'04'!H9+'05'!H9+'06'!H9+'07'!H9+'08'!H9+'09'!H9+'10'!H9+'11'!H9+'12'!H9+'13'!H9+'14'!H9+'15'!H9+'16'!H9+'17'!H9+'18'!H9+'19'!H9+'20'!H9+'21'!H9+'22'!H9+'23'!H9+'24'!H9+'25'!H9+'26'!H9+'27'!H9+'28'!H9+'29'!H9+'30'!H9+'31'!H9</f>
        <v>13174</v>
      </c>
      <c r="I11" s="91">
        <f>G11/D11%</f>
        <v>119.16666666666666</v>
      </c>
      <c r="J11" s="91"/>
      <c r="K11" s="239">
        <v>24</v>
      </c>
      <c r="L11" s="252"/>
      <c r="M11" s="253">
        <f t="shared" si="1"/>
        <v>0</v>
      </c>
      <c r="N11" s="95"/>
    </row>
    <row r="12" spans="1:14" s="89" customFormat="1" ht="15" hidden="1" customHeight="1">
      <c r="A12" s="254" t="s">
        <v>6</v>
      </c>
      <c r="B12" s="90">
        <v>42</v>
      </c>
      <c r="C12" s="90">
        <v>915</v>
      </c>
      <c r="D12" s="90">
        <f t="shared" ref="D12:D40" si="2">K12*30</f>
        <v>420</v>
      </c>
      <c r="E12" s="90">
        <v>40</v>
      </c>
      <c r="F12" s="91">
        <f>'01'!I10+'02'!I10+'03'!I10+'04'!I10+'05'!I10+'06'!I10+'07'!I10+'08'!I10+'09'!I10+'10'!I10+'11'!I10+'12'!I10+'13'!I10+'14'!I10+'15'!I10+'16'!I10+'17'!I10+'18'!I10+'19'!I10+'20'!I10+'21'!I10+'22'!I10+'23'!I10+'24'!I10+'25'!I10+'26'!I10+'27'!I10+'28'!I10+'29'!I10+'30'!I10+'31'!I10+'01'!I15+'02'!I15+'03'!I15+'04'!I15+'05'!I15+'06'!I15+'07'!I15+'08'!I15+'09'!I15+'10'!I15+'11'!I15+'12'!I15+'13'!I15+'14'!I15+'15'!I15+'16'!I15+'17'!I15+'18'!I15+'19'!I15+'20'!I15+'21'!I15+'22'!I15+'23'!I15+'24'!I15+'25'!I15+'26'!I15+'27'!I15+'28'!I15+'29'!I15+'30'!I15+'31'!I15</f>
        <v>8961</v>
      </c>
      <c r="G12" s="91">
        <f>'01'!E10+'01'!E15+'02'!E10+'02'!E15+'03'!E10+'03'!E15+'04'!E10+'04'!E15+'05'!E10+'05'!E15+'06'!E10+'06'!E15+'07'!E10+'07'!E15+'08'!E10+'08'!E15+'09'!E10+'09'!E15+'10'!E10+'10'!E15+'11'!E10+'11'!E15+'12'!E10+'12'!E15+'13'!E10+'13'!E15+'14'!E10+'14'!E15+'15'!E10+'15'!E15+'16'!E10+'16'!E15+'17'!E10+'17'!E15+'18'!E10+'18'!E15+'19'!E10+'19'!E15+'20'!E10+'20'!E15+'21'!E10+'21'!E15+'22'!E10+'22'!E15+'23'!E10+'23'!E15+'24'!E10+'24'!E15+'25'!E10+'25'!E15+'26'!E10+'26'!E15+'27'!E10+'27'!E15+'28'!E10+'28'!E15+'29'!E10+'29'!E15+'30'!E10+'30'!E15+'31'!E10+'31'!E15</f>
        <v>472</v>
      </c>
      <c r="H12" s="91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+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8489</v>
      </c>
      <c r="I12" s="91">
        <f t="shared" ref="I12:I44" si="3">G12/D12%</f>
        <v>112.38095238095238</v>
      </c>
      <c r="J12" s="91"/>
      <c r="K12" s="239">
        <v>14</v>
      </c>
      <c r="L12" s="252"/>
      <c r="M12" s="253">
        <f t="shared" si="1"/>
        <v>0</v>
      </c>
      <c r="N12" s="95"/>
    </row>
    <row r="13" spans="1:14" s="89" customFormat="1" ht="15" hidden="1" customHeight="1">
      <c r="A13" s="254" t="s">
        <v>5</v>
      </c>
      <c r="B13" s="90">
        <v>39</v>
      </c>
      <c r="C13" s="90">
        <v>670</v>
      </c>
      <c r="D13" s="90">
        <f t="shared" si="2"/>
        <v>480</v>
      </c>
      <c r="E13" s="90">
        <v>35</v>
      </c>
      <c r="F13" s="91">
        <f>'01'!I11+'02'!I11+'03'!I11+'04'!I11+'05'!I11+'06'!I11+'07'!I11+'08'!I11+'09'!I11+'10'!I11+'11'!I11+'12'!I11+'13'!I11+'14'!I11+'15'!I11+'16'!I11+'17'!I11+'18'!I11+'19'!I11+'20'!I11+'21'!I11+'22'!I11+'23'!I11+'24'!I11+'25'!I11+'26'!I11+'27'!I11+'28'!I11+'29'!I11+'30'!I11+'31'!I11+'01'!I16+'02'!I16+'03'!I16+'04'!I16+'05'!I16+'06'!I16+'07'!I16+'08'!I16+'09'!I16+'10'!I16+'11'!I16+'12'!I16+'13'!I16+'14'!I16+'15'!I16+'16'!I16+'17'!I16+'18'!I16+'19'!I16+'20'!I16+'21'!I16+'22'!I16+'23'!I16+'24'!I16+'25'!I16+'26'!I16+'27'!I16+'28'!I16+'29'!I16+'30'!I16+'31'!I16</f>
        <v>8719</v>
      </c>
      <c r="G13" s="91">
        <f>'01'!E11+'01'!E16+'02'!E11+'02'!E16+'03'!E11+'03'!E16+'04'!E11+'04'!E16+'05'!E11+'05'!E16+'06'!E11+'06'!E16+'07'!E11+'07'!E16+'08'!E11+'08'!E16+'09'!E11+'09'!E16+'10'!E11+'10'!E16+'11'!E11+'11'!E16+'12'!E11+'12'!E16+'13'!E11+'13'!E16+'14'!E11+'14'!E16+'15'!E11+'15'!E16+'16'!E11+'16'!E16+'17'!E11+'17'!E16+'18'!E11+'18'!E16+'19'!E11+'19'!E16+'20'!E11+'20'!E16+'21'!E11+'21'!E16+'22'!E11+'22'!E16+'23'!E11+'23'!E16+'24'!E11+'24'!E16+'25'!E11+'25'!E16+'26'!E11+'26'!E16+'27'!E11+'27'!E16+'28'!E11+'28'!E16+'29'!E11+'29'!E16+'30'!E11+'30'!E16+'31'!E11+'31'!E16</f>
        <v>536</v>
      </c>
      <c r="H13" s="91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+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8183</v>
      </c>
      <c r="I13" s="91">
        <f t="shared" si="3"/>
        <v>111.66666666666667</v>
      </c>
      <c r="J13" s="91"/>
      <c r="K13" s="239">
        <v>16</v>
      </c>
      <c r="L13" s="252"/>
      <c r="M13" s="253">
        <f t="shared" si="1"/>
        <v>0</v>
      </c>
      <c r="N13" s="95"/>
    </row>
    <row r="14" spans="1:14" s="89" customFormat="1" ht="15" hidden="1" customHeight="1">
      <c r="A14" s="254" t="s">
        <v>107</v>
      </c>
      <c r="B14" s="90">
        <v>3</v>
      </c>
      <c r="C14" s="90">
        <v>96</v>
      </c>
      <c r="D14" s="90">
        <f t="shared" si="2"/>
        <v>30</v>
      </c>
      <c r="E14" s="90">
        <v>3</v>
      </c>
      <c r="F14" s="91">
        <f>'01'!I12+'02'!I12+'03'!I12+'04'!I12+'05'!I12+'06'!I12+'07'!I12+'08'!I12+'09'!I12+'10'!I12+'11'!I12+'12'!I12+'13'!I12+'14'!I12+'15'!I12+'16'!I12+'17'!I12+'18'!I12+'19'!I12+'20'!I12+'21'!I12+'22'!I12+'23'!I12+'24'!I12+'25'!I12+'26'!I12+'27'!I12+'28'!I12+'29'!I12+'30'!I12+'31'!I12</f>
        <v>1056</v>
      </c>
      <c r="G14" s="91">
        <f>'01'!E12+'02'!E12+'03'!E12+'04'!E12+'05'!E12+'06'!E12+'07'!E12+'08'!E12+'09'!E12+'10'!E12+'11'!E12+'12'!E12+'13'!E12+'14'!E12+'15'!E12+'16'!E12+'17'!E12+'18'!E12+'19'!E12+'20'!E12+'21'!E12+'22'!E12+'23'!E12+'24'!E12+'25'!E12+'26'!E12+'27'!E12+'28'!E12+'29'!E12</f>
        <v>29</v>
      </c>
      <c r="H14" s="91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996</v>
      </c>
      <c r="I14" s="91">
        <f t="shared" si="3"/>
        <v>96.666666666666671</v>
      </c>
      <c r="J14" s="91"/>
      <c r="K14" s="239">
        <v>1</v>
      </c>
      <c r="L14" s="252"/>
      <c r="M14" s="253">
        <f t="shared" si="1"/>
        <v>31</v>
      </c>
      <c r="N14" s="95"/>
    </row>
    <row r="15" spans="1:14" s="89" customFormat="1" ht="15" hidden="1" customHeight="1">
      <c r="A15" s="254" t="s">
        <v>7</v>
      </c>
      <c r="B15" s="90">
        <v>2</v>
      </c>
      <c r="C15" s="90">
        <v>32</v>
      </c>
      <c r="D15" s="90">
        <f t="shared" si="2"/>
        <v>30</v>
      </c>
      <c r="E15" s="90">
        <v>2</v>
      </c>
      <c r="F15" s="91">
        <f>'01'!I17+'02'!I17+'03'!I17+'04'!I17+'05'!I17+'06'!I17+'07'!I17+'08'!I17+'09'!I17+'10'!I17+'11'!I17+'12'!I17+'13'!I17+'14'!I17+'15'!I17+'16'!I17+'17'!I17+'18'!I17+'19'!I17+'20'!I17+'21'!I17+'22'!I17+'23'!I17+'24'!I17+'25'!I17+'26'!I17+'27'!I17+'28'!I17+'29'!I17+'30'!I17+'31'!I17</f>
        <v>416</v>
      </c>
      <c r="G15" s="91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26</v>
      </c>
      <c r="H15" s="91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390</v>
      </c>
      <c r="I15" s="91">
        <f t="shared" si="3"/>
        <v>86.666666666666671</v>
      </c>
      <c r="J15" s="91"/>
      <c r="K15" s="239">
        <v>1</v>
      </c>
      <c r="L15" s="252"/>
      <c r="M15" s="253">
        <f t="shared" si="1"/>
        <v>0</v>
      </c>
      <c r="N15" s="95"/>
    </row>
    <row r="16" spans="1:14" s="89" customFormat="1" ht="15" hidden="1" customHeight="1">
      <c r="A16" s="254" t="s">
        <v>8</v>
      </c>
      <c r="B16" s="90">
        <v>1</v>
      </c>
      <c r="C16" s="90">
        <v>16</v>
      </c>
      <c r="D16" s="90">
        <f t="shared" si="2"/>
        <v>30</v>
      </c>
      <c r="E16" s="90">
        <v>1</v>
      </c>
      <c r="F16" s="91">
        <f>'01'!I18+'02'!I18+'03'!I18+'04'!I18+'05'!I18+'06'!I18+'07'!I18+'08'!I18+'09'!I18+'10'!I18+'11'!I18+'12'!I18+'13'!I18+'14'!I18+'15'!I18+'16'!I18+'17'!I18+'18'!I18+'19'!I18+'20'!I18+'21'!I18+'22'!I18+'23'!I18+'24'!I18+'25'!I18+'26'!I18+'27'!I18+'28'!I18+'29'!I18+'30'!I18+'31'!I18</f>
        <v>480</v>
      </c>
      <c r="G16" s="91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30</v>
      </c>
      <c r="H16" s="91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450</v>
      </c>
      <c r="I16" s="91">
        <f t="shared" si="3"/>
        <v>100</v>
      </c>
      <c r="J16" s="91"/>
      <c r="K16" s="239">
        <v>1</v>
      </c>
      <c r="L16" s="252"/>
      <c r="M16" s="253">
        <f t="shared" si="1"/>
        <v>0</v>
      </c>
      <c r="N16" s="95"/>
    </row>
    <row r="17" spans="1:18" s="89" customFormat="1" ht="15" hidden="1" customHeight="1">
      <c r="A17" s="254" t="s">
        <v>157</v>
      </c>
      <c r="B17" s="90">
        <v>2</v>
      </c>
      <c r="C17" s="90">
        <v>32</v>
      </c>
      <c r="D17" s="90">
        <f t="shared" si="2"/>
        <v>30</v>
      </c>
      <c r="E17" s="90">
        <v>2</v>
      </c>
      <c r="F17" s="91">
        <f>'01'!I19+'02'!I19+'03'!I19+'04'!I19+'05'!I19+'06'!I19+'07'!I19+'08'!I19+'09'!I19+'10'!I19+'11'!I19+'12'!I19+'13'!I19+'14'!I19+'15'!I19+'16'!I19+'17'!I19+'18'!I19+'19'!I19+'20'!I19+'21'!I19+'22'!I19+'23'!I19+'24'!I19+'25'!I19+'26'!I19+'27'!I19+'28'!I19+'29'!I19+'30'!I19+'31'!I19</f>
        <v>592</v>
      </c>
      <c r="G17" s="91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37</v>
      </c>
      <c r="H17" s="91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555</v>
      </c>
      <c r="I17" s="91">
        <f t="shared" si="3"/>
        <v>123.33333333333334</v>
      </c>
      <c r="J17" s="91"/>
      <c r="K17" s="239">
        <v>1</v>
      </c>
      <c r="L17" s="252"/>
      <c r="M17" s="253">
        <f t="shared" si="1"/>
        <v>0</v>
      </c>
      <c r="N17" s="95"/>
    </row>
    <row r="18" spans="1:18" s="89" customFormat="1" ht="15" hidden="1" customHeight="1">
      <c r="A18" s="255" t="s">
        <v>109</v>
      </c>
      <c r="B18" s="87">
        <f t="shared" ref="B18:H18" si="4">B19</f>
        <v>41</v>
      </c>
      <c r="C18" s="87">
        <f t="shared" si="4"/>
        <v>832</v>
      </c>
      <c r="D18" s="87">
        <f t="shared" si="4"/>
        <v>2520</v>
      </c>
      <c r="E18" s="87">
        <f t="shared" si="4"/>
        <v>35</v>
      </c>
      <c r="F18" s="88">
        <f t="shared" si="4"/>
        <v>51777</v>
      </c>
      <c r="G18" s="88">
        <f t="shared" si="4"/>
        <v>2905</v>
      </c>
      <c r="H18" s="88">
        <f t="shared" si="4"/>
        <v>48688</v>
      </c>
      <c r="I18" s="240"/>
      <c r="J18" s="240"/>
      <c r="K18" s="241"/>
      <c r="L18" s="252"/>
      <c r="M18" s="253">
        <f t="shared" si="1"/>
        <v>184</v>
      </c>
    </row>
    <row r="19" spans="1:18" s="89" customFormat="1" ht="15" hidden="1" customHeight="1">
      <c r="A19" s="254" t="s">
        <v>150</v>
      </c>
      <c r="B19" s="90">
        <v>41</v>
      </c>
      <c r="C19" s="90">
        <v>832</v>
      </c>
      <c r="D19" s="90">
        <f t="shared" si="2"/>
        <v>2520</v>
      </c>
      <c r="E19" s="90">
        <v>35</v>
      </c>
      <c r="F19" s="91">
        <f>'01'!I21+'02'!I21+'03'!I21+'04'!I21+'05'!I21+'06'!I21+'07'!I21+'08'!I21+'09'!I21+'10'!I21+'11'!I21+'12'!I21+'13'!I21+'14'!I21+'15'!I21+'16'!I21+'17'!I21+'18'!I21+'19'!I21+'20'!I21+'21'!I21+'22'!I21+'23'!I21+'24'!I21+'25'!I21+'26'!I21+'27'!I21+'28'!I21+'29'!I21+'30'!I21+'31'!I21</f>
        <v>51777</v>
      </c>
      <c r="G19" s="91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2905</v>
      </c>
      <c r="H19" s="91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48688</v>
      </c>
      <c r="I19" s="91">
        <f t="shared" si="3"/>
        <v>115.27777777777779</v>
      </c>
      <c r="J19" s="91"/>
      <c r="K19" s="239">
        <v>84</v>
      </c>
      <c r="L19" s="252"/>
      <c r="M19" s="253">
        <f t="shared" si="1"/>
        <v>184</v>
      </c>
      <c r="N19" s="95"/>
      <c r="P19" s="89" t="s">
        <v>72</v>
      </c>
    </row>
    <row r="20" spans="1:18" s="89" customFormat="1" ht="15" hidden="1" customHeight="1">
      <c r="A20" s="255" t="s">
        <v>111</v>
      </c>
      <c r="B20" s="87">
        <f t="shared" ref="B20:H20" si="5">B21</f>
        <v>1</v>
      </c>
      <c r="C20" s="87">
        <f t="shared" si="5"/>
        <v>34</v>
      </c>
      <c r="D20" s="87">
        <f t="shared" si="5"/>
        <v>30</v>
      </c>
      <c r="E20" s="87">
        <f t="shared" si="5"/>
        <v>1</v>
      </c>
      <c r="F20" s="88">
        <f t="shared" si="5"/>
        <v>942</v>
      </c>
      <c r="G20" s="88">
        <f t="shared" si="5"/>
        <v>28</v>
      </c>
      <c r="H20" s="88">
        <f t="shared" si="5"/>
        <v>888</v>
      </c>
      <c r="I20" s="240"/>
      <c r="J20" s="240"/>
      <c r="K20" s="241"/>
      <c r="L20" s="252"/>
      <c r="M20" s="253">
        <f t="shared" si="1"/>
        <v>26</v>
      </c>
    </row>
    <row r="21" spans="1:18" s="89" customFormat="1" ht="15" hidden="1" customHeight="1">
      <c r="A21" s="254" t="s">
        <v>5</v>
      </c>
      <c r="B21" s="90">
        <v>1</v>
      </c>
      <c r="C21" s="90">
        <v>34</v>
      </c>
      <c r="D21" s="90">
        <f t="shared" si="2"/>
        <v>30</v>
      </c>
      <c r="E21" s="90">
        <v>1</v>
      </c>
      <c r="F21" s="91">
        <f>'01'!I23+'02'!I23+'03'!I23+'04'!I23+'05'!I23+'06'!I23+'07'!I23+'08'!I23+'09'!I23+'10'!I23+'11'!I23+'12'!I23+'13'!I23+'14'!I23+'15'!I23+'16'!I23+'17'!I23+'18'!I23+'19'!I23+'20'!I23+'21'!I23+'22'!I23+'23'!I23+'24'!I23+'25'!I23+'26'!I23+'27'!I23+'28'!I23+'29'!I23+'30'!I23+'31'!I23</f>
        <v>942</v>
      </c>
      <c r="G21" s="91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28</v>
      </c>
      <c r="H21" s="91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888</v>
      </c>
      <c r="I21" s="91">
        <f t="shared" si="3"/>
        <v>93.333333333333343</v>
      </c>
      <c r="J21" s="91"/>
      <c r="K21" s="239">
        <v>1</v>
      </c>
      <c r="L21" s="252"/>
      <c r="M21" s="253">
        <f t="shared" si="1"/>
        <v>26</v>
      </c>
      <c r="O21" s="95"/>
    </row>
    <row r="22" spans="1:18" s="89" customFormat="1" ht="15" hidden="1" customHeight="1">
      <c r="A22" s="255" t="s">
        <v>112</v>
      </c>
      <c r="B22" s="87">
        <f t="shared" ref="B22:H22" si="6">B23</f>
        <v>2</v>
      </c>
      <c r="C22" s="87">
        <f t="shared" si="6"/>
        <v>56</v>
      </c>
      <c r="D22" s="87">
        <f t="shared" si="6"/>
        <v>30</v>
      </c>
      <c r="E22" s="87">
        <f t="shared" si="6"/>
        <v>2</v>
      </c>
      <c r="F22" s="88">
        <f t="shared" si="6"/>
        <v>832</v>
      </c>
      <c r="G22" s="88">
        <f t="shared" si="6"/>
        <v>30</v>
      </c>
      <c r="H22" s="88">
        <f t="shared" si="6"/>
        <v>802</v>
      </c>
      <c r="I22" s="240"/>
      <c r="J22" s="240"/>
      <c r="K22" s="241"/>
      <c r="L22" s="252"/>
      <c r="M22" s="253">
        <f t="shared" si="1"/>
        <v>0</v>
      </c>
    </row>
    <row r="23" spans="1:18" s="89" customFormat="1" ht="15" hidden="1" customHeight="1">
      <c r="A23" s="254" t="s">
        <v>10</v>
      </c>
      <c r="B23" s="90">
        <v>2</v>
      </c>
      <c r="C23" s="90">
        <v>56</v>
      </c>
      <c r="D23" s="90">
        <f t="shared" si="2"/>
        <v>30</v>
      </c>
      <c r="E23" s="90">
        <v>2</v>
      </c>
      <c r="F23" s="91">
        <f>'01'!I25+'02'!I25+'03'!I25+'04'!I25+'05'!I25+'06'!I25+'07'!I25+'08'!I25+'09'!I25+'10'!I25+'11'!I25+'12'!I25+'13'!I25+'14'!I25+'15'!I25+'16'!I25+'17'!I25+'18'!I25+'19'!I25+'20'!I25+'21'!I25+'22'!I25+'23'!I25+'24'!I25+'25'!I25+'26'!I25+'27'!I25+'28'!I25+'29'!I25+'30'!I25+'31'!I25</f>
        <v>832</v>
      </c>
      <c r="G23" s="91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30</v>
      </c>
      <c r="H23" s="91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802</v>
      </c>
      <c r="I23" s="91">
        <f t="shared" si="3"/>
        <v>100</v>
      </c>
      <c r="J23" s="91"/>
      <c r="K23" s="239">
        <v>1</v>
      </c>
      <c r="L23" s="252"/>
      <c r="M23" s="253">
        <f t="shared" si="1"/>
        <v>0</v>
      </c>
    </row>
    <row r="24" spans="1:18" s="89" customFormat="1" ht="15" hidden="1" customHeight="1">
      <c r="A24" s="255" t="s">
        <v>113</v>
      </c>
      <c r="B24" s="87">
        <f t="shared" ref="B24:H24" si="7">B25</f>
        <v>2</v>
      </c>
      <c r="C24" s="87">
        <f t="shared" si="7"/>
        <v>50</v>
      </c>
      <c r="D24" s="87">
        <f t="shared" si="7"/>
        <v>30</v>
      </c>
      <c r="E24" s="87">
        <f t="shared" si="7"/>
        <v>1</v>
      </c>
      <c r="F24" s="88">
        <f t="shared" si="7"/>
        <v>729</v>
      </c>
      <c r="G24" s="88">
        <f t="shared" si="7"/>
        <v>29</v>
      </c>
      <c r="H24" s="88">
        <f t="shared" si="7"/>
        <v>700</v>
      </c>
      <c r="I24" s="240"/>
      <c r="J24" s="240"/>
      <c r="K24" s="240"/>
      <c r="L24" s="252"/>
      <c r="M24" s="253">
        <f t="shared" si="1"/>
        <v>0</v>
      </c>
    </row>
    <row r="25" spans="1:18" s="89" customFormat="1" ht="15" hidden="1" customHeight="1">
      <c r="A25" s="254" t="s">
        <v>10</v>
      </c>
      <c r="B25" s="90">
        <v>2</v>
      </c>
      <c r="C25" s="90">
        <v>50</v>
      </c>
      <c r="D25" s="90">
        <f t="shared" si="2"/>
        <v>30</v>
      </c>
      <c r="E25" s="90">
        <v>1</v>
      </c>
      <c r="F25" s="91">
        <f>'01'!I27+'02'!I27+'03'!I27+'04'!I27+'05'!I27+'06'!I27+'07'!I27+'08'!I27+'09'!I27+'10'!I27+'11'!I27+'12'!I27+'13'!I27+'14'!I27+'15'!I27+'16'!I27+'17'!I27+'18'!I27+'19'!I27+'20'!I27+'21'!I27+'22'!I27+'23'!I27+'24'!I27+'25'!I27+'26'!I27+'27'!I27+'28'!I27+'29'!I27+'30'!I27+'31'!I27</f>
        <v>729</v>
      </c>
      <c r="G25" s="91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29</v>
      </c>
      <c r="H25" s="91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700</v>
      </c>
      <c r="I25" s="91">
        <f t="shared" si="3"/>
        <v>96.666666666666671</v>
      </c>
      <c r="J25" s="91"/>
      <c r="K25" s="239">
        <v>1</v>
      </c>
      <c r="L25" s="252"/>
      <c r="M25" s="253">
        <f t="shared" si="1"/>
        <v>0</v>
      </c>
    </row>
    <row r="26" spans="1:18" s="89" customFormat="1" ht="15" hidden="1" customHeight="1">
      <c r="A26" s="255" t="s">
        <v>114</v>
      </c>
      <c r="B26" s="87">
        <f>B27+B28</f>
        <v>24</v>
      </c>
      <c r="C26" s="87">
        <f>C27+C28</f>
        <v>589</v>
      </c>
      <c r="D26" s="87">
        <f>D27+D28</f>
        <v>270</v>
      </c>
      <c r="E26" s="87">
        <f>E27+E28</f>
        <v>14</v>
      </c>
      <c r="F26" s="88">
        <f>F27+F28+F29</f>
        <v>18401</v>
      </c>
      <c r="G26" s="88">
        <f>G27+G28+G29</f>
        <v>1013</v>
      </c>
      <c r="H26" s="88">
        <f>H27+H28+H29</f>
        <v>17388</v>
      </c>
      <c r="I26" s="240"/>
      <c r="J26" s="240"/>
      <c r="K26" s="241"/>
      <c r="L26" s="252"/>
      <c r="M26" s="253">
        <f t="shared" si="1"/>
        <v>0</v>
      </c>
    </row>
    <row r="27" spans="1:18" s="89" customFormat="1" ht="15" hidden="1" customHeight="1">
      <c r="A27" s="254" t="s">
        <v>3</v>
      </c>
      <c r="B27" s="90">
        <v>11</v>
      </c>
      <c r="C27" s="90">
        <v>276</v>
      </c>
      <c r="D27" s="90">
        <f t="shared" si="2"/>
        <v>90</v>
      </c>
      <c r="E27" s="90">
        <v>4</v>
      </c>
      <c r="F27" s="91">
        <f>'01'!I29+'02'!I29+'03'!I29+'04'!I29+'05'!I29+'06'!I29+'07'!I29+'08'!I29+'09'!I29+'10'!I29+'11'!I29+'12'!I29+'13'!I29+'14'!I29+'15'!I29+'16'!I29+'17'!I29+'18'!I29+'19'!I29+'20'!I29+'21'!I29+'22'!I29+'23'!I29+'24'!I29+'25'!I29+'26'!I29+'27'!I29+'28'!I29+'29'!I29+'30'!I29+'31'!I29</f>
        <v>2218</v>
      </c>
      <c r="G27" s="91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86</v>
      </c>
      <c r="H27" s="91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2132</v>
      </c>
      <c r="I27" s="91">
        <f t="shared" si="3"/>
        <v>95.555555555555557</v>
      </c>
      <c r="J27" s="91"/>
      <c r="K27" s="239">
        <v>3</v>
      </c>
      <c r="L27" s="252"/>
      <c r="M27" s="253">
        <f t="shared" si="1"/>
        <v>0</v>
      </c>
    </row>
    <row r="28" spans="1:18" s="89" customFormat="1" ht="15" hidden="1" customHeight="1">
      <c r="A28" s="254" t="s">
        <v>11</v>
      </c>
      <c r="B28" s="90">
        <v>13</v>
      </c>
      <c r="C28" s="90">
        <v>313</v>
      </c>
      <c r="D28" s="90">
        <f t="shared" si="2"/>
        <v>180</v>
      </c>
      <c r="E28" s="90">
        <v>10</v>
      </c>
      <c r="F28" s="91">
        <f>'01'!I30+'02'!I30+'03'!I30+'04'!I30+'05'!I30+'06'!I30+'07'!I30+'08'!I30+'09'!I30+'10'!I30+'11'!I30+'12'!I30+'13'!I30+'14'!I30+'15'!I30+'16'!I30+'17'!I30+'18'!I30+'19'!I30+'20'!I30+'21'!I30+'22'!I30+'23'!I30+'24'!I30+'25'!I30+'26'!I30+'27'!I30+'28'!I30+'29'!I30+'30'!I30+'31'!I30</f>
        <v>3703</v>
      </c>
      <c r="G28" s="91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147</v>
      </c>
      <c r="H28" s="91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3556</v>
      </c>
      <c r="I28" s="91">
        <f t="shared" si="3"/>
        <v>81.666666666666671</v>
      </c>
      <c r="J28" s="91"/>
      <c r="K28" s="239">
        <v>6</v>
      </c>
      <c r="L28" s="252"/>
      <c r="M28" s="253">
        <f t="shared" si="1"/>
        <v>0</v>
      </c>
    </row>
    <row r="29" spans="1:18" s="89" customFormat="1" ht="15" hidden="1" customHeight="1">
      <c r="A29" s="254" t="s">
        <v>150</v>
      </c>
      <c r="B29" s="90">
        <v>12</v>
      </c>
      <c r="C29" s="90">
        <v>192</v>
      </c>
      <c r="D29" s="90">
        <f t="shared" si="2"/>
        <v>720</v>
      </c>
      <c r="E29" s="90">
        <v>10</v>
      </c>
      <c r="F29" s="91">
        <f>'01'!I31+'02'!I31+'03'!I31+'04'!I31+'05'!I31+'06'!I31+'07'!I31+'08'!I31+'09'!I31+'10'!I31+'11'!I31+'12'!I31+'13'!I31+'14'!I31+'15'!I31+'16'!I31+'17'!I31+'18'!I31+'19'!I31+'20'!I31+'21'!I31+'22'!I31+'23'!I31+'24'!I31+'25'!I31+'26'!I31+'27'!I31+'28'!I31+'29'!I31+'30'!I31+'31'!I31</f>
        <v>12480</v>
      </c>
      <c r="G29" s="91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780</v>
      </c>
      <c r="H29" s="91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11700</v>
      </c>
      <c r="I29" s="91">
        <f t="shared" si="3"/>
        <v>108.33333333333333</v>
      </c>
      <c r="J29" s="91"/>
      <c r="K29" s="239">
        <v>24</v>
      </c>
      <c r="L29" s="252"/>
      <c r="M29" s="253">
        <f t="shared" si="1"/>
        <v>0</v>
      </c>
    </row>
    <row r="30" spans="1:18" s="89" customFormat="1" ht="15" hidden="1" customHeight="1">
      <c r="A30" s="255" t="s">
        <v>115</v>
      </c>
      <c r="B30" s="87">
        <f t="shared" ref="B30:H30" si="8">B31+B32+B33</f>
        <v>30</v>
      </c>
      <c r="C30" s="87">
        <f t="shared" si="8"/>
        <v>825</v>
      </c>
      <c r="D30" s="87">
        <f t="shared" si="8"/>
        <v>450</v>
      </c>
      <c r="E30" s="87">
        <f t="shared" si="8"/>
        <v>22</v>
      </c>
      <c r="F30" s="88">
        <f t="shared" si="8"/>
        <v>13578</v>
      </c>
      <c r="G30" s="88">
        <f t="shared" si="8"/>
        <v>490</v>
      </c>
      <c r="H30" s="88">
        <f t="shared" si="8"/>
        <v>13055</v>
      </c>
      <c r="I30" s="240"/>
      <c r="J30" s="240"/>
      <c r="K30" s="241"/>
      <c r="L30" s="252"/>
      <c r="M30" s="253">
        <f t="shared" si="1"/>
        <v>33</v>
      </c>
    </row>
    <row r="31" spans="1:18" s="89" customFormat="1" ht="15" hidden="1" customHeight="1">
      <c r="A31" s="254" t="s">
        <v>3</v>
      </c>
      <c r="B31" s="90">
        <v>14</v>
      </c>
      <c r="C31" s="90">
        <v>379</v>
      </c>
      <c r="D31" s="90">
        <f t="shared" si="2"/>
        <v>180</v>
      </c>
      <c r="E31" s="90">
        <v>9</v>
      </c>
      <c r="F31" s="91">
        <f>'01'!I34+'02'!I34+'03'!I34+'04'!I34+'05'!I34+'06'!I34+'07'!I34+'08'!I34+'09'!I34+'10'!I34+'11'!I34+'12'!I34+'13'!I34+'14'!I34+'15'!I34+'16'!I34+'17'!I34+'18'!I34+'19'!I34+'20'!I34+'21'!I34+'22'!I34+'23'!I34+'24'!I34+'25'!I34+'26'!I34+'27'!I34+'28'!I34+'29'!I34+'30'!I34+'31'!I34</f>
        <v>5244</v>
      </c>
      <c r="G31" s="91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196</v>
      </c>
      <c r="H31" s="91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5048</v>
      </c>
      <c r="I31" s="91">
        <f t="shared" si="3"/>
        <v>108.88888888888889</v>
      </c>
      <c r="J31" s="91"/>
      <c r="K31" s="239">
        <v>6</v>
      </c>
      <c r="L31" s="252"/>
      <c r="M31" s="253">
        <f t="shared" si="1"/>
        <v>0</v>
      </c>
      <c r="R31" s="89" t="s">
        <v>72</v>
      </c>
    </row>
    <row r="32" spans="1:18" s="89" customFormat="1" ht="15" hidden="1" customHeight="1">
      <c r="A32" s="254" t="s">
        <v>12</v>
      </c>
      <c r="B32" s="90">
        <v>14</v>
      </c>
      <c r="C32" s="90">
        <v>382</v>
      </c>
      <c r="D32" s="90">
        <f t="shared" si="2"/>
        <v>210</v>
      </c>
      <c r="E32" s="90">
        <v>11</v>
      </c>
      <c r="F32" s="91">
        <f>'01'!I35+'02'!I35+'03'!I35+'04'!I35+'05'!I35+'06'!I35+'07'!I35+'08'!I35+'09'!I35+'10'!I35+'11'!I35+'12'!I35+'13'!I35+'14'!I35+'15'!I35+'16'!I35+'17'!I35+'18'!I35+'19'!I35+'20'!I35+'21'!I35+'22'!I35+'23'!I35+'24'!I35+'25'!I35+'26'!I35+'27'!I35+'28'!I35+'29'!I35+'30'!I35+'31'!I35</f>
        <v>6418</v>
      </c>
      <c r="G32" s="91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234</v>
      </c>
      <c r="H32" s="91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6181</v>
      </c>
      <c r="I32" s="91">
        <f t="shared" si="3"/>
        <v>111.42857142857143</v>
      </c>
      <c r="J32" s="91"/>
      <c r="K32" s="239">
        <v>7</v>
      </c>
      <c r="L32" s="252"/>
      <c r="M32" s="253">
        <f t="shared" si="1"/>
        <v>3</v>
      </c>
      <c r="P32" s="95"/>
    </row>
    <row r="33" spans="1:20" s="89" customFormat="1" ht="15" hidden="1" customHeight="1">
      <c r="A33" s="254" t="s">
        <v>151</v>
      </c>
      <c r="B33" s="90">
        <v>2</v>
      </c>
      <c r="C33" s="90">
        <v>64</v>
      </c>
      <c r="D33" s="90">
        <f t="shared" si="2"/>
        <v>60</v>
      </c>
      <c r="E33" s="90">
        <v>2</v>
      </c>
      <c r="F33" s="91">
        <f>'01'!I36+'02'!I36+'03'!I36+'04'!I36+'05'!I36+'06'!I36+'07'!I36+'08'!I36+'09'!I36+'10'!I36+'11'!I36+'12'!I36+'13'!I36+'14'!I36+'15'!I36+'16'!I36+'17'!I36+'18'!I36+'19'!I36+'20'!I36+'21'!I36+'22'!I36+'23'!I36+'24'!I36+'25'!I36+'26'!I36+'27'!I36+'28'!I36+'29'!I36+'30'!I36+'31'!I36</f>
        <v>1916</v>
      </c>
      <c r="G33" s="91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60</v>
      </c>
      <c r="H33" s="91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1826</v>
      </c>
      <c r="I33" s="91">
        <f t="shared" si="3"/>
        <v>100</v>
      </c>
      <c r="J33" s="91"/>
      <c r="K33" s="239">
        <v>2</v>
      </c>
      <c r="L33" s="252"/>
      <c r="M33" s="253">
        <f t="shared" si="1"/>
        <v>30</v>
      </c>
    </row>
    <row r="34" spans="1:20" s="89" customFormat="1" ht="15" hidden="1" customHeight="1">
      <c r="A34" s="255" t="s">
        <v>116</v>
      </c>
      <c r="B34" s="87">
        <f t="shared" ref="B34:H34" si="9">B35</f>
        <v>16</v>
      </c>
      <c r="C34" s="87">
        <f t="shared" si="9"/>
        <v>269</v>
      </c>
      <c r="D34" s="87">
        <f t="shared" si="9"/>
        <v>570</v>
      </c>
      <c r="E34" s="87">
        <f t="shared" si="9"/>
        <v>8</v>
      </c>
      <c r="F34" s="87">
        <f t="shared" si="9"/>
        <v>12102</v>
      </c>
      <c r="G34" s="87">
        <f t="shared" si="9"/>
        <v>745</v>
      </c>
      <c r="H34" s="88">
        <f t="shared" si="9"/>
        <v>11357</v>
      </c>
      <c r="I34" s="240"/>
      <c r="J34" s="240"/>
      <c r="K34" s="241"/>
      <c r="L34" s="252"/>
      <c r="M34" s="253">
        <f t="shared" si="1"/>
        <v>0</v>
      </c>
      <c r="T34" s="89" t="s">
        <v>72</v>
      </c>
    </row>
    <row r="35" spans="1:20" s="89" customFormat="1" ht="15" hidden="1" customHeight="1">
      <c r="A35" s="254" t="s">
        <v>127</v>
      </c>
      <c r="B35" s="90">
        <v>16</v>
      </c>
      <c r="C35" s="90">
        <v>269</v>
      </c>
      <c r="D35" s="90">
        <f t="shared" si="2"/>
        <v>570</v>
      </c>
      <c r="E35" s="90">
        <v>8</v>
      </c>
      <c r="F35" s="91">
        <f>'01'!I38+'02'!I38+'03'!I38+'04'!I38+'05'!I38+'06'!I38+'07'!I38+'08'!I38+'09'!I38+'10'!I38+'11'!I38+'12'!I38+'13'!I38+'14'!I38+'15'!I38+'16'!I38+'17'!I38+'18'!I38+'19'!I38+'20'!I38+'21'!I38+'22'!I38+'23'!I38+'24'!I38+'25'!I38+'26'!I38+'27'!I38+'28'!I38+'29'!I38+'30'!I38+'31'!I38</f>
        <v>12102</v>
      </c>
      <c r="G35" s="91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745</v>
      </c>
      <c r="H35" s="91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11357</v>
      </c>
      <c r="I35" s="91">
        <f t="shared" si="3"/>
        <v>130.7017543859649</v>
      </c>
      <c r="J35" s="91"/>
      <c r="K35" s="239">
        <v>19</v>
      </c>
      <c r="L35" s="252"/>
      <c r="M35" s="253">
        <f t="shared" si="1"/>
        <v>0</v>
      </c>
    </row>
    <row r="36" spans="1:20" s="89" customFormat="1" ht="15" hidden="1" customHeight="1">
      <c r="A36" s="255" t="s">
        <v>117</v>
      </c>
      <c r="B36" s="87">
        <f>B38</f>
        <v>6</v>
      </c>
      <c r="C36" s="87">
        <f>C38</f>
        <v>109</v>
      </c>
      <c r="D36" s="87">
        <f>D38</f>
        <v>120</v>
      </c>
      <c r="E36" s="87">
        <f>E38</f>
        <v>6</v>
      </c>
      <c r="F36" s="88">
        <f>F37+F38</f>
        <v>2809</v>
      </c>
      <c r="G36" s="88">
        <f>G37+G38</f>
        <v>152</v>
      </c>
      <c r="H36" s="88">
        <f>H37+H38</f>
        <v>2657</v>
      </c>
      <c r="I36" s="240"/>
      <c r="J36" s="240"/>
      <c r="K36" s="241"/>
      <c r="L36" s="252"/>
      <c r="M36" s="253">
        <f t="shared" si="1"/>
        <v>0</v>
      </c>
    </row>
    <row r="37" spans="1:20" s="89" customFormat="1" ht="15" hidden="1" customHeight="1">
      <c r="A37" s="256" t="s">
        <v>155</v>
      </c>
      <c r="B37" s="157">
        <v>3</v>
      </c>
      <c r="C37" s="157">
        <v>61</v>
      </c>
      <c r="D37" s="90">
        <f t="shared" si="2"/>
        <v>30</v>
      </c>
      <c r="E37" s="157">
        <v>3</v>
      </c>
      <c r="F37" s="91">
        <f>'01'!I50+'02'!I50+'03'!I50+'04'!I50+'05'!I50+'06'!I50+'07'!I50+'08'!I50+'09'!I50+'10'!I50+'11'!I50+'12'!I50+'13'!I50+'14'!I50+'15'!I50+'16'!I50+'17'!I50+'18'!I50+'19'!I50+'20'!I50+'21'!I50+'22'!I50+'23'!I50+'24'!I50+'25'!I50+'26'!I50+'27'!I50+'28'!I50+'29'!I50+'30'!I50+'31'!I50</f>
        <v>623</v>
      </c>
      <c r="G37" s="91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30</v>
      </c>
      <c r="H37" s="91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593</v>
      </c>
      <c r="I37" s="159">
        <f t="shared" si="3"/>
        <v>100</v>
      </c>
      <c r="J37" s="159"/>
      <c r="K37" s="238">
        <v>1</v>
      </c>
      <c r="L37" s="252"/>
      <c r="M37" s="253">
        <f t="shared" si="1"/>
        <v>0</v>
      </c>
    </row>
    <row r="38" spans="1:20" s="158" customFormat="1" ht="15" hidden="1" customHeight="1">
      <c r="A38" s="256" t="s">
        <v>152</v>
      </c>
      <c r="B38" s="157">
        <v>6</v>
      </c>
      <c r="C38" s="157">
        <v>109</v>
      </c>
      <c r="D38" s="90">
        <f t="shared" si="2"/>
        <v>120</v>
      </c>
      <c r="E38" s="157">
        <v>6</v>
      </c>
      <c r="F38" s="91">
        <f>'01'!I51+'02'!I51+'03'!I51+'04'!I51+'05'!I51+'06'!I51+'07'!I51+'08'!I51+'09'!I51+'10'!I51+'11'!I51+'12'!I51+'13'!I51+'14'!I51+'15'!I51+'16'!I51+'17'!I51+'18'!I51+'19'!I51+'20'!I51+'21'!I51+'22'!I51+'23'!I51+'24'!I51+'25'!I51+'26'!I51+'27'!I51+'28'!I51+'29'!I51+'30'!I51+'31'!I51</f>
        <v>2186</v>
      </c>
      <c r="G38" s="91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122</v>
      </c>
      <c r="H38" s="91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2064</v>
      </c>
      <c r="I38" s="159">
        <f t="shared" si="3"/>
        <v>101.66666666666667</v>
      </c>
      <c r="J38" s="159"/>
      <c r="K38" s="238">
        <v>4</v>
      </c>
      <c r="L38" s="252"/>
      <c r="M38" s="253">
        <f t="shared" si="1"/>
        <v>0</v>
      </c>
    </row>
    <row r="39" spans="1:20" s="89" customFormat="1" ht="15" hidden="1" customHeight="1">
      <c r="A39" s="255" t="s">
        <v>118</v>
      </c>
      <c r="B39" s="87">
        <f t="shared" ref="B39:H39" si="10">B40</f>
        <v>4</v>
      </c>
      <c r="C39" s="87">
        <f t="shared" si="10"/>
        <v>116</v>
      </c>
      <c r="D39" s="87">
        <f t="shared" si="10"/>
        <v>30</v>
      </c>
      <c r="E39" s="87">
        <f t="shared" si="10"/>
        <v>4</v>
      </c>
      <c r="F39" s="88">
        <f t="shared" si="10"/>
        <v>928</v>
      </c>
      <c r="G39" s="88">
        <f t="shared" si="10"/>
        <v>32</v>
      </c>
      <c r="H39" s="88">
        <f t="shared" si="10"/>
        <v>896</v>
      </c>
      <c r="I39" s="240"/>
      <c r="J39" s="240"/>
      <c r="K39" s="241"/>
      <c r="L39" s="252"/>
      <c r="M39" s="253">
        <f t="shared" si="1"/>
        <v>0</v>
      </c>
      <c r="S39" s="89" t="s">
        <v>72</v>
      </c>
    </row>
    <row r="40" spans="1:20" s="89" customFormat="1" ht="15" hidden="1" customHeight="1">
      <c r="A40" s="254" t="s">
        <v>17</v>
      </c>
      <c r="B40" s="90">
        <v>4</v>
      </c>
      <c r="C40" s="90">
        <f>29*4</f>
        <v>116</v>
      </c>
      <c r="D40" s="90">
        <f t="shared" si="2"/>
        <v>30</v>
      </c>
      <c r="E40" s="90">
        <v>4</v>
      </c>
      <c r="F40" s="91">
        <f>'01'!I48+'02'!I48+'03'!I48+'04'!I48+'05'!I48+'06'!I48+'07'!I48+'08'!I48+'09'!I48+'10'!I48+'11'!I48+'12'!I48+'13'!I48+'14'!I48+'15'!I48+'16'!I48+'17'!I48+'18'!I48+'19'!I48+'20'!I48+'21'!I48+'22'!I48+'23'!I48+'24'!I48+'25'!I48+'26'!I48+'27'!I48+'28'!I48+'29'!I48+'30'!I48+'31'!I48</f>
        <v>928</v>
      </c>
      <c r="G40" s="91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32</v>
      </c>
      <c r="H40" s="91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896</v>
      </c>
      <c r="I40" s="91">
        <f t="shared" si="3"/>
        <v>106.66666666666667</v>
      </c>
      <c r="J40" s="91"/>
      <c r="K40" s="239">
        <v>1</v>
      </c>
      <c r="L40" s="252"/>
      <c r="M40" s="253">
        <f t="shared" si="1"/>
        <v>0</v>
      </c>
    </row>
    <row r="41" spans="1:20" s="89" customFormat="1" ht="15" hidden="1" customHeight="1">
      <c r="A41" s="255" t="s">
        <v>119</v>
      </c>
      <c r="B41" s="87">
        <f t="shared" ref="B41:H41" si="11">B42+B43+B44+B45</f>
        <v>12</v>
      </c>
      <c r="C41" s="87">
        <f t="shared" si="11"/>
        <v>518</v>
      </c>
      <c r="D41" s="87">
        <f t="shared" si="11"/>
        <v>88</v>
      </c>
      <c r="E41" s="87">
        <f t="shared" si="11"/>
        <v>11</v>
      </c>
      <c r="F41" s="88">
        <f t="shared" si="11"/>
        <v>3814</v>
      </c>
      <c r="G41" s="88">
        <f t="shared" si="11"/>
        <v>89</v>
      </c>
      <c r="H41" s="88">
        <f t="shared" si="11"/>
        <v>3636</v>
      </c>
      <c r="I41" s="240"/>
      <c r="J41" s="240"/>
      <c r="K41" s="241"/>
      <c r="L41" s="252"/>
      <c r="M41" s="253">
        <f t="shared" si="1"/>
        <v>89</v>
      </c>
    </row>
    <row r="42" spans="1:20" s="89" customFormat="1" ht="15" hidden="1" customHeight="1">
      <c r="A42" s="254" t="s">
        <v>153</v>
      </c>
      <c r="B42" s="90">
        <v>8</v>
      </c>
      <c r="C42" s="90">
        <v>352</v>
      </c>
      <c r="D42" s="90">
        <v>54</v>
      </c>
      <c r="E42" s="90">
        <v>8</v>
      </c>
      <c r="F42" s="159">
        <f>'01'!I40+'01'!I45+'02'!I40+'02'!I45+'03'!I40+'03'!I45+'04'!I40+'04'!I45+'05'!I40+'05'!I45+'06'!I40+'06'!I45+'07'!I40+'07'!I45+'08'!I40+'08'!I45+'09'!I40+'09'!I45+'10'!I40+'10'!I45+'11'!I40+'11'!I45+'12'!I40+'12'!I45+'13'!I40+'13'!I45+'14'!I40+'14'!I45+'15'!I40+'15'!I45+'16'!I40+'16'!I45+'17'!I40+'17'!I45+'18'!I40+'18'!I45+'19'!I40+'19'!I45+'20'!I40+'20'!I45+'21'!I40+'21'!I45+'22'!I40+'22'!I45+'23'!I40+'23'!I45+'24'!I40+'24'!I45+'25'!I40+'25'!I45+'26'!I40+'26'!I45+'27'!I40+'27'!I45+'28'!I40+'28'!I45+'29'!I40+'29'!I45+'30'!I40+'30'!I45+'31'!I40+'31'!I45</f>
        <v>2230</v>
      </c>
      <c r="G42" s="159">
        <f>'01'!E40+'01'!E45+'02'!E40+'02'!E45+'03'!E40+'03'!E45+'04'!E40+'04'!E45+'05'!E40+'05'!E45+'06'!E40+'06'!E45+'07'!E40+'07'!E45+'08'!E40+'08'!E45+'09'!E40+'09'!E45+'10'!E40+'10'!E45+'11'!E40+'11'!E45+'12'!E40+'12'!E45+'13'!E40+'13'!E45+'14'!E40+'14'!E45+'15'!E40+'15'!E45+'16'!E40+'16'!E45+'17'!E40+'17'!E45+'18'!E40+'18'!E45+'19'!E40+'19'!E45+'20'!E40+'20'!E45+'21'!E40+'21'!E45+'22'!E40+'22'!E45+'23'!E40+'23'!E45+'24'!E40+'24'!E45+'25'!E40+'25'!E45+'26'!E40+'26'!E45+'27'!E40+'27'!E45+'28'!E40+'28'!E45+'29'!E40+'29'!E45+'30'!E40+'30'!E45+'31'!E40+'31'!E45</f>
        <v>51</v>
      </c>
      <c r="H42" s="159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+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2128</v>
      </c>
      <c r="I42" s="91">
        <f t="shared" si="3"/>
        <v>94.444444444444443</v>
      </c>
      <c r="J42" s="91"/>
      <c r="K42" s="239">
        <v>2</v>
      </c>
      <c r="L42" s="252"/>
      <c r="M42" s="253">
        <f t="shared" si="1"/>
        <v>51</v>
      </c>
      <c r="O42" s="95"/>
    </row>
    <row r="43" spans="1:20" s="89" customFormat="1" ht="15" hidden="1" customHeight="1">
      <c r="A43" s="257" t="s">
        <v>154</v>
      </c>
      <c r="B43" s="90">
        <v>1</v>
      </c>
      <c r="C43" s="90">
        <v>42</v>
      </c>
      <c r="D43" s="90">
        <v>4</v>
      </c>
      <c r="E43" s="90">
        <v>1</v>
      </c>
      <c r="F43" s="159">
        <f>'01'!I41+'02'!I41+'03'!I41+'04'!I41+'05'!I41+'06'!I41+'07'!I41+'08'!I41+'09'!I41+'10'!I41+'11'!I41+'12'!I41+'13'!I41+'14'!I41+'15'!I41+'16'!I41+'17'!I41+'18'!I41+'19'!I41+'20'!I41+'21'!I41+'22'!I41+'23'!I41+'24'!I41+'25'!I41+'26'!I41+'27'!I41+'28'!I41+'29'!I41+'30'!I41+'31'!I41</f>
        <v>126</v>
      </c>
      <c r="G43" s="159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3</v>
      </c>
      <c r="H43" s="159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120</v>
      </c>
      <c r="I43" s="91">
        <f t="shared" si="3"/>
        <v>75</v>
      </c>
      <c r="J43" s="91"/>
      <c r="K43" s="242">
        <f>D43/31</f>
        <v>0.12903225806451613</v>
      </c>
      <c r="L43" s="252"/>
      <c r="M43" s="253">
        <f t="shared" si="1"/>
        <v>3</v>
      </c>
      <c r="O43" s="95"/>
    </row>
    <row r="44" spans="1:20" s="89" customFormat="1" ht="15" hidden="1" customHeight="1">
      <c r="A44" s="254" t="s">
        <v>15</v>
      </c>
      <c r="B44" s="90">
        <v>2</v>
      </c>
      <c r="C44" s="90">
        <v>84</v>
      </c>
      <c r="D44" s="90">
        <v>24</v>
      </c>
      <c r="E44" s="90">
        <v>1</v>
      </c>
      <c r="F44" s="159">
        <f>'01'!I42+'01'!I46+'02'!I42+'02'!I46+'03'!I42+'03'!I46+'04'!I42+'04'!I46+'05'!I42+'05'!I46+'06'!I42+'06'!I46+'07'!I42+'07'!I46+'08'!I42+'08'!I46+'09'!I42+'09'!I46+'10'!I42+'10'!I46+'11'!I42+'11'!I46+'12'!I42+'12'!I46+'13'!I42+'13'!I46+'14'!I42+'14'!I46+'15'!I42+'15'!I46+'16'!I42+'16'!I46+'17'!I42+'17'!I46+'18'!I42+'18'!I46+'19'!I42+'19'!I46+'20'!I42+'20'!I46+'21'!I42+'21'!I46+'22'!I42+'22'!I46+'23'!I42+'23'!I46+'24'!I42+'24'!I46+'25'!I42+'25'!I46+'26'!I42+'26'!I46+'27'!I42+'27'!I46+'28'!I42+'28'!I46+'29'!I42+'29'!I46+'30'!I42+'30'!I46+'31'!I42+'31'!I46</f>
        <v>1218</v>
      </c>
      <c r="G44" s="159">
        <f>'01'!E42+'01'!E46+'02'!E42+'02'!E46+'03'!E42+'03'!E46+'04'!E42+'04'!E46+'05'!E42+'05'!E46+'06'!E42+'06'!E46+'07'!E42+'07'!E46+'08'!E42+'08'!E46+'09'!E42+'09'!E46+'10'!E42+'10'!E46+'11'!E42+'11'!E46+'12'!E42+'12'!E46+'13'!E42+'13'!E46+'14'!E42+'14'!E46+'15'!E42+'15'!E46+'16'!E42+'16'!E46+'17'!E42+'17'!E46+'18'!E42+'18'!E46+'19'!E42+'19'!E46+'20'!E42+'20'!E46+'21'!E42+'21'!E46+'22'!E42+'22'!E46+'23'!E42+'23'!E46+'24'!E42+'24'!E46+'25'!E42+'25'!E46+'26'!E42+'26'!E46+'27'!E42+'27'!E46+'28'!E42+'28'!E46+'29'!E42+'29'!E46+'30'!E42+'30'!E46+'31'!E42+'31'!E46</f>
        <v>29</v>
      </c>
      <c r="H44" s="159">
        <f>'01'!H42+'01'!H46+'02'!H42+'02'!H46+'03'!H42+'03'!H46+'04'!H42+'04'!H46+'05'!H42+'05'!H46+'06'!H42+'06'!H46+'07'!H42+'07'!H46+'08'!H42+'08'!H46+'09'!H42+'09'!H46+'10'!H42+'10'!H46+'11'!H42+'11'!H46+'12'!H42+'12'!H46+'13'!H42+'13'!H46+'14'!H42+'14'!H46+'15'!H42+'15'!H46+'16'!H42+'16'!H46+'17'!H42+'17'!H46+'18'!H42+'18'!H46+'19'!H42+'19'!H46+'20'!H42+'20'!H46+'21'!H42+'21'!H46+'22'!H42+'22'!H46+'23'!H42+'23'!H46+'24'!H42+'24'!H46+'25'!H42+'25'!H46+'26'!H42+'26'!H46+'27'!H42+'27'!H46+'28'!H42+'28'!H46+'29'!H42+'29'!H46+'30'!H42+'30'!H46+'31'!H42+'31'!H46</f>
        <v>1160</v>
      </c>
      <c r="I44" s="91">
        <f t="shared" si="3"/>
        <v>120.83333333333334</v>
      </c>
      <c r="J44" s="91"/>
      <c r="K44" s="239">
        <v>1</v>
      </c>
      <c r="L44" s="252"/>
      <c r="M44" s="253">
        <f t="shared" si="1"/>
        <v>29</v>
      </c>
      <c r="O44" s="95"/>
    </row>
    <row r="45" spans="1:20" s="89" customFormat="1" ht="15" hidden="1" customHeight="1">
      <c r="A45" s="254" t="s">
        <v>16</v>
      </c>
      <c r="B45" s="90">
        <v>1</v>
      </c>
      <c r="C45" s="90">
        <v>40</v>
      </c>
      <c r="D45" s="90">
        <v>6</v>
      </c>
      <c r="E45" s="90">
        <v>1</v>
      </c>
      <c r="F45" s="159">
        <f>'01'!I43+'02'!I43+'03'!I43+'04'!I43+'05'!I43+'06'!I43+'07'!I43+'08'!I43+'09'!I43+'10'!I43+'11'!I43+'12'!I43+'13'!I43+'14'!I43+'15'!I43+'16'!I43+'17'!I43+'18'!I43+'19'!I43+'20'!I43+'21'!I43+'22'!I43+'23'!I43+'24'!I43+'25'!I43+'26'!I43+'27'!I43+'28'!I43+'29'!I43+'30'!I43+'31'!I43</f>
        <v>240</v>
      </c>
      <c r="G45" s="159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6</v>
      </c>
      <c r="H45" s="91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228</v>
      </c>
      <c r="I45" s="91">
        <f>G45/D45*100</f>
        <v>100</v>
      </c>
      <c r="J45" s="91"/>
      <c r="K45" s="242">
        <f>D45/30</f>
        <v>0.2</v>
      </c>
      <c r="L45" s="252"/>
      <c r="M45" s="253">
        <f t="shared" si="1"/>
        <v>6</v>
      </c>
      <c r="O45" s="95"/>
    </row>
    <row r="46" spans="1:20" s="89" customFormat="1" ht="15" hidden="1" customHeight="1">
      <c r="A46" s="255" t="s">
        <v>219</v>
      </c>
      <c r="B46" s="87">
        <f t="shared" ref="B46:H46" si="12">B47</f>
        <v>5</v>
      </c>
      <c r="C46" s="87">
        <f t="shared" si="12"/>
        <v>218</v>
      </c>
      <c r="D46" s="87">
        <f t="shared" si="12"/>
        <v>15</v>
      </c>
      <c r="E46" s="87">
        <f t="shared" si="12"/>
        <v>5</v>
      </c>
      <c r="F46" s="88">
        <f t="shared" si="12"/>
        <v>356</v>
      </c>
      <c r="G46" s="88">
        <f t="shared" si="12"/>
        <v>8</v>
      </c>
      <c r="H46" s="88">
        <f t="shared" si="12"/>
        <v>340</v>
      </c>
      <c r="I46" s="240"/>
      <c r="J46" s="240"/>
      <c r="K46" s="241"/>
      <c r="L46" s="252"/>
      <c r="M46" s="253">
        <f t="shared" si="1"/>
        <v>8</v>
      </c>
      <c r="O46" s="95"/>
    </row>
    <row r="47" spans="1:20" s="89" customFormat="1" ht="15" hidden="1" customHeight="1">
      <c r="A47" s="254" t="s">
        <v>220</v>
      </c>
      <c r="B47" s="90">
        <v>5</v>
      </c>
      <c r="C47" s="90">
        <v>218</v>
      </c>
      <c r="D47" s="90">
        <v>15</v>
      </c>
      <c r="E47" s="90">
        <v>5</v>
      </c>
      <c r="F47" s="91">
        <f>'01'!I53+'02'!I53+'03'!I53+'04'!I53+'05'!I53+'06'!I53+'07'!I53+'08'!I53+'09'!I53+'10'!I53+'11'!I53+'12'!I53+'13'!I53+'14'!I53+'15'!I53+'16'!I53+'17'!I53+'18'!I53+'19'!I53+'20'!I53+'21'!I53+'22'!I53+'23'!I53+'24'!I53+'25'!I53+'26'!I53+'27'!I53+'28'!I53+'29'!I53+'30'!I53+'31'!I53</f>
        <v>356</v>
      </c>
      <c r="G47" s="91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8</v>
      </c>
      <c r="H47" s="91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340</v>
      </c>
      <c r="I47" s="91">
        <f>G47/D47*100</f>
        <v>53.333333333333336</v>
      </c>
      <c r="J47" s="91"/>
      <c r="K47" s="242">
        <f>D47/30</f>
        <v>0.5</v>
      </c>
      <c r="L47" s="252"/>
      <c r="M47" s="253">
        <f t="shared" si="1"/>
        <v>8</v>
      </c>
      <c r="O47" s="95"/>
    </row>
    <row r="48" spans="1:20" s="89" customFormat="1" ht="15" hidden="1" customHeight="1">
      <c r="A48" s="255" t="s">
        <v>212</v>
      </c>
      <c r="B48" s="87">
        <f t="shared" ref="B48:H48" si="13">B49</f>
        <v>1</v>
      </c>
      <c r="C48" s="87">
        <f t="shared" si="13"/>
        <v>46</v>
      </c>
      <c r="D48" s="87">
        <f t="shared" si="13"/>
        <v>4</v>
      </c>
      <c r="E48" s="87">
        <f t="shared" si="13"/>
        <v>1</v>
      </c>
      <c r="F48" s="88">
        <f t="shared" si="13"/>
        <v>184</v>
      </c>
      <c r="G48" s="88">
        <f t="shared" si="13"/>
        <v>4</v>
      </c>
      <c r="H48" s="88">
        <f t="shared" si="13"/>
        <v>176</v>
      </c>
      <c r="I48" s="240"/>
      <c r="J48" s="240"/>
      <c r="K48" s="241"/>
      <c r="L48" s="252"/>
      <c r="M48" s="253">
        <f t="shared" si="1"/>
        <v>4</v>
      </c>
    </row>
    <row r="49" spans="1:15" s="89" customFormat="1" ht="15" hidden="1" customHeight="1">
      <c r="A49" s="254" t="s">
        <v>210</v>
      </c>
      <c r="B49" s="90">
        <v>1</v>
      </c>
      <c r="C49" s="90">
        <v>46</v>
      </c>
      <c r="D49" s="90">
        <v>4</v>
      </c>
      <c r="E49" s="90">
        <v>1</v>
      </c>
      <c r="F49" s="91">
        <f>'01'!I55+'02'!I55+'03'!I55+'04'!I55+'05'!I55+'06'!I55+'07'!I55+'08'!I55+'09'!I55+'10'!I55+'11'!I55+'12'!I55+'13'!I55+'14'!I55+'15'!I55+'16'!I55+'17'!I55+'18'!I55+'19'!I55+'20'!I55+'21'!I55+'22'!I55+'23'!I55+'24'!I55+'25'!I55+'26'!I55+'27'!I55+'28'!I55+'29'!I55+'30'!I55+'31'!I55</f>
        <v>184</v>
      </c>
      <c r="G49" s="91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4</v>
      </c>
      <c r="H49" s="91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176</v>
      </c>
      <c r="I49" s="91">
        <f>G49/D49*100</f>
        <v>100</v>
      </c>
      <c r="J49" s="91"/>
      <c r="K49" s="242">
        <f>D49/30</f>
        <v>0.13333333333333333</v>
      </c>
      <c r="L49" s="252"/>
      <c r="M49" s="253">
        <f t="shared" si="1"/>
        <v>4</v>
      </c>
      <c r="O49" s="95"/>
    </row>
    <row r="50" spans="1:15" s="89" customFormat="1" ht="46.5" customHeight="1">
      <c r="A50" s="258" t="s">
        <v>252</v>
      </c>
      <c r="B50" s="88">
        <f t="shared" ref="B50:G50" si="14">SUM(B56:B58)</f>
        <v>15</v>
      </c>
      <c r="C50" s="88">
        <f t="shared" si="14"/>
        <v>407</v>
      </c>
      <c r="D50" s="88">
        <f t="shared" si="14"/>
        <v>445</v>
      </c>
      <c r="E50" s="88">
        <f t="shared" si="14"/>
        <v>15</v>
      </c>
      <c r="F50" s="88">
        <f t="shared" si="14"/>
        <v>7683</v>
      </c>
      <c r="G50" s="88">
        <f t="shared" si="14"/>
        <v>265</v>
      </c>
      <c r="H50" s="88">
        <f>SUM(H56:I58)</f>
        <v>7445.2165898617513</v>
      </c>
      <c r="I50" s="88">
        <f>H50/F50*100</f>
        <v>96.905070803875461</v>
      </c>
      <c r="J50" s="88"/>
      <c r="K50" s="88"/>
      <c r="L50" s="88">
        <f>SUM(L56:L58)</f>
        <v>180</v>
      </c>
      <c r="M50" s="259">
        <f>SUM(M56:M58)</f>
        <v>15120000</v>
      </c>
    </row>
    <row r="51" spans="1:15" s="89" customFormat="1" ht="15" hidden="1" customHeight="1">
      <c r="A51" s="254" t="s">
        <v>93</v>
      </c>
      <c r="B51" s="91">
        <v>3</v>
      </c>
      <c r="C51" s="91">
        <v>120</v>
      </c>
      <c r="D51" s="91">
        <v>6</v>
      </c>
      <c r="E51" s="91">
        <v>3</v>
      </c>
      <c r="F51" s="91">
        <f>'01'!I57+'02'!I57+'03'!I57+'04'!I57+'05'!I57+'06'!I57+'07'!I57+'08'!I57+'09'!I57+'10'!I57+'11'!I57+'12'!I57+'13'!I57+'14'!I57+'15'!I57+'16'!I57+'17'!I57+'18'!I57+'19'!I57+'20'!I57+'21'!I57+'22'!I57+'23'!I57+'24'!I57+'25'!I57+'26'!I57+'27'!I57+'28'!I57+'29'!I57+'30'!I57+'31'!I57</f>
        <v>360</v>
      </c>
      <c r="G51" s="91">
        <f>'01'!E57+'02'!E57+'03'!E57+'04'!E57+'05'!E57+'06'!E57+'07'!E57+'08'!E57+'09'!E57+'10'!E57+'11'!E57+'12'!E57+'13'!E57+'14'!E57+'15'!E57+'16'!E57+'17'!E57+'18'!E57+'19'!E57+'20'!E57+'21'!E57+'22'!E57+'23'!E57+'24'!E57+'25'!E57+'26'!E57+'27'!E57+'28'!E57+'29'!E57+'30'!E57+'31'!E57</f>
        <v>9</v>
      </c>
      <c r="H51" s="91">
        <f>'01'!H57+'02'!H57+'03'!H57+'04'!H57+'05'!H57+'06'!H57+'07'!H57+'08'!H57+'09'!H57+'10'!H57+'11'!H57+'12'!H57+'13'!H57+'14'!H57+'15'!H57+'16'!H57+'17'!H57+'18'!H57+'19'!H57+'20'!H57+'21'!H57+'22'!H57+'23'!H57+'24'!H57+'25'!H57+'26'!H57+'27'!H57+'28'!H57+'29'!H57+'30'!H57+'31'!H57</f>
        <v>342</v>
      </c>
      <c r="I51" s="91">
        <f>G51/D51%</f>
        <v>150</v>
      </c>
      <c r="J51" s="91"/>
      <c r="K51" s="248">
        <f>6/30</f>
        <v>0.2</v>
      </c>
      <c r="L51" s="260"/>
      <c r="M51" s="249">
        <f>F51-G51-H51</f>
        <v>9</v>
      </c>
      <c r="O51" s="95"/>
    </row>
    <row r="52" spans="1:15" s="89" customFormat="1" ht="15" hidden="1" customHeight="1">
      <c r="A52" s="255" t="s">
        <v>216</v>
      </c>
      <c r="B52" s="88">
        <f t="shared" ref="B52:H54" si="15">B53</f>
        <v>2</v>
      </c>
      <c r="C52" s="88">
        <f t="shared" si="15"/>
        <v>82</v>
      </c>
      <c r="D52" s="88">
        <f t="shared" si="15"/>
        <v>8</v>
      </c>
      <c r="E52" s="88">
        <f t="shared" si="15"/>
        <v>2</v>
      </c>
      <c r="F52" s="88">
        <f t="shared" si="15"/>
        <v>205</v>
      </c>
      <c r="G52" s="88">
        <f t="shared" si="15"/>
        <v>5</v>
      </c>
      <c r="H52" s="88">
        <f t="shared" si="15"/>
        <v>195</v>
      </c>
      <c r="I52" s="240"/>
      <c r="J52" s="240"/>
      <c r="K52" s="250"/>
      <c r="L52" s="260"/>
      <c r="M52" s="249">
        <f>F52-G52-H52</f>
        <v>5</v>
      </c>
      <c r="O52" s="95"/>
    </row>
    <row r="53" spans="1:15" s="89" customFormat="1" ht="15" hidden="1" customHeight="1">
      <c r="A53" s="254" t="s">
        <v>221</v>
      </c>
      <c r="B53" s="91">
        <v>2</v>
      </c>
      <c r="C53" s="91">
        <v>82</v>
      </c>
      <c r="D53" s="91">
        <v>8</v>
      </c>
      <c r="E53" s="91">
        <v>2</v>
      </c>
      <c r="F53" s="91">
        <f>'01'!I61+'02'!I61+'03'!I61+'04'!I61+'05'!I61+'06'!I61+'07'!I61+'08'!I61+'09'!I61+'10'!I61+'11'!I61+'12'!I61+'13'!I61+'14'!I61+'15'!I61+'16'!I61+'17'!I61+'18'!I61+'19'!I61+'20'!I61+'21'!I61+'22'!I61+'23'!I61+'24'!I61+'25'!I61+'26'!I61+'27'!I61+'28'!I61+'29'!I61+'30'!I61+'31'!I61</f>
        <v>205</v>
      </c>
      <c r="G53" s="91">
        <f>'01'!E61+'02'!E61+'03'!E61+'04'!E61+'05'!E61+'06'!E61+'07'!E61+'08'!E61+'09'!E61+'10'!E61+'11'!E61+'12'!E61+'13'!E61+'14'!E61+'15'!E61+'16'!E61+'17'!E61+'18'!E61+'19'!E61+'20'!E61+'21'!E61+'22'!E61+'23'!E61+'24'!E61+'25'!E61+'26'!E61+'27'!E61+'28'!E61+'29'!E61+'30'!E61+'31'!E61</f>
        <v>5</v>
      </c>
      <c r="H53" s="91">
        <f>'01'!H61+'02'!H61+'03'!H61+'04'!H61+'05'!H61+'06'!H61+'07'!H61+'08'!H61+'09'!H61+'10'!H61+'11'!H61+'12'!H61+'13'!H61+'14'!H61+'15'!H61+'16'!H61+'17'!H61+'18'!H61+'19'!H61+'20'!H61+'21'!H61+'22'!H61+'23'!H61+'24'!H61+'25'!H61+'26'!H61+'27'!H61+'28'!H61+'29'!H61+'30'!H61+'31'!H61</f>
        <v>195</v>
      </c>
      <c r="I53" s="91">
        <f>G53/D53*100</f>
        <v>62.5</v>
      </c>
      <c r="J53" s="91"/>
      <c r="K53" s="248">
        <f>D53/30</f>
        <v>0.26666666666666666</v>
      </c>
      <c r="L53" s="260"/>
      <c r="M53" s="249">
        <f>F53-G53-H53</f>
        <v>5</v>
      </c>
      <c r="O53" s="95"/>
    </row>
    <row r="54" spans="1:15" s="89" customFormat="1" ht="15" hidden="1" customHeight="1">
      <c r="A54" s="255" t="s">
        <v>235</v>
      </c>
      <c r="B54" s="88">
        <f t="shared" si="15"/>
        <v>4</v>
      </c>
      <c r="C54" s="88">
        <f t="shared" si="15"/>
        <v>179</v>
      </c>
      <c r="D54" s="88">
        <f t="shared" si="15"/>
        <v>60</v>
      </c>
      <c r="E54" s="88">
        <f t="shared" si="15"/>
        <v>4</v>
      </c>
      <c r="F54" s="88">
        <f t="shared" si="15"/>
        <v>1531</v>
      </c>
      <c r="G54" s="88">
        <f t="shared" si="15"/>
        <v>34</v>
      </c>
      <c r="H54" s="88">
        <f t="shared" si="15"/>
        <v>1463</v>
      </c>
      <c r="I54" s="240"/>
      <c r="J54" s="240"/>
      <c r="K54" s="250"/>
      <c r="L54" s="260"/>
      <c r="M54" s="249">
        <f>F54-G54-H54</f>
        <v>34</v>
      </c>
      <c r="O54" s="95"/>
    </row>
    <row r="55" spans="1:15" s="89" customFormat="1" ht="15" hidden="1" customHeight="1" thickBot="1">
      <c r="A55" s="254" t="s">
        <v>244</v>
      </c>
      <c r="B55" s="91">
        <v>4</v>
      </c>
      <c r="C55" s="91">
        <v>179</v>
      </c>
      <c r="D55" s="91">
        <f>K55*30</f>
        <v>60</v>
      </c>
      <c r="E55" s="91">
        <v>4</v>
      </c>
      <c r="F55" s="91">
        <f>'01'!I59+'02'!I59+'03'!I59+'04'!I59+'05'!I59+'06'!I59+'07'!I59+'08'!I59+'09'!I59+'10'!I59+'11'!I59+'12'!I59+'13'!I59+'14'!I59+'15'!I59+'16'!I59+'17'!I59+'18'!I59+'19'!I59+'20'!I59+'21'!I59+'22'!I59+'23'!I59+'24'!I59+'25'!I59+'26'!I59+'27'!I59+'28'!I59+'29'!I59+'30'!I59+'31'!I59</f>
        <v>1531</v>
      </c>
      <c r="G55" s="91">
        <f>'01'!E59+'02'!E59+'03'!E59+'04'!E59+'05'!E59+'06'!E59+'07'!E59+'08'!E59+'09'!E59+'10'!E59+'11'!E59+'12'!E59+'13'!E59+'14'!E59+'15'!E59+'16'!E59+'17'!E59+'18'!E59+'19'!E59+'20'!E59+'21'!E59+'22'!E59+'23'!E59+'24'!E59+'25'!E59+'26'!E59+'27'!E59+'28'!E59+'29'!E59+'30'!E59+'31'!E59</f>
        <v>34</v>
      </c>
      <c r="H55" s="91">
        <f>'01'!H59+'02'!H59+'03'!H59+'04'!H59+'05'!H59+'06'!H59+'07'!H59+'08'!H59+'09'!H59+'10'!H59+'11'!H59+'12'!H59+'13'!H59+'14'!H59+'15'!H59+'16'!H59+'17'!H59+'18'!H59+'19'!H59+'20'!H59+'21'!H59+'22'!H59+'23'!H59+'24'!H59+'25'!H59+'26'!H59+'27'!H59+'28'!H59+'29'!H59+'30'!H59+'31'!H59</f>
        <v>1463</v>
      </c>
      <c r="I55" s="91">
        <f>G55/D55*100</f>
        <v>56.666666666666664</v>
      </c>
      <c r="J55" s="91"/>
      <c r="K55" s="248">
        <v>2</v>
      </c>
      <c r="L55" s="260"/>
      <c r="M55" s="249">
        <f>F55-G55-H55</f>
        <v>34</v>
      </c>
      <c r="O55" s="95"/>
    </row>
    <row r="56" spans="1:15" s="89" customFormat="1" ht="15" customHeight="1">
      <c r="A56" s="266" t="s">
        <v>247</v>
      </c>
      <c r="B56" s="91">
        <v>5</v>
      </c>
      <c r="C56" s="91">
        <v>134</v>
      </c>
      <c r="D56" s="244">
        <f t="shared" ref="D56" si="16">K56*28</f>
        <v>140</v>
      </c>
      <c r="E56" s="91">
        <v>5</v>
      </c>
      <c r="F56" s="91">
        <v>2229</v>
      </c>
      <c r="G56" s="244">
        <v>75</v>
      </c>
      <c r="H56" s="91">
        <v>2129</v>
      </c>
      <c r="I56" s="91">
        <f t="shared" ref="I56" si="17">G56/D56%</f>
        <v>53.571428571428577</v>
      </c>
      <c r="J56" s="244">
        <f>G56/D56*100</f>
        <v>53.571428571428569</v>
      </c>
      <c r="K56" s="91">
        <v>5</v>
      </c>
      <c r="L56" s="244">
        <f t="shared" ref="L56" si="18">D56-G56</f>
        <v>65</v>
      </c>
      <c r="M56" s="261">
        <f>L56*21*4000</f>
        <v>5460000</v>
      </c>
      <c r="O56" s="95"/>
    </row>
    <row r="57" spans="1:15" s="89" customFormat="1" ht="15" customHeight="1">
      <c r="A57" s="266" t="s">
        <v>249</v>
      </c>
      <c r="B57" s="91">
        <v>5</v>
      </c>
      <c r="C57" s="91">
        <v>134</v>
      </c>
      <c r="D57" s="244">
        <f t="shared" ref="D57" si="19">K57*31</f>
        <v>155</v>
      </c>
      <c r="E57" s="91">
        <v>5</v>
      </c>
      <c r="F57" s="91">
        <v>2730</v>
      </c>
      <c r="G57" s="244">
        <v>94</v>
      </c>
      <c r="H57" s="91">
        <v>2604</v>
      </c>
      <c r="I57" s="91">
        <f>G57/D57%</f>
        <v>60.645161290322577</v>
      </c>
      <c r="J57" s="244">
        <f>G57/D57*100</f>
        <v>60.645161290322577</v>
      </c>
      <c r="K57" s="91">
        <v>5</v>
      </c>
      <c r="L57" s="244">
        <f>D57-G57</f>
        <v>61</v>
      </c>
      <c r="M57" s="261">
        <f>L57*21*4000</f>
        <v>5124000</v>
      </c>
      <c r="O57" s="95"/>
    </row>
    <row r="58" spans="1:15" s="89" customFormat="1" ht="15" customHeight="1" thickBot="1">
      <c r="A58" s="267" t="s">
        <v>261</v>
      </c>
      <c r="B58" s="268">
        <v>5</v>
      </c>
      <c r="C58" s="268">
        <v>139</v>
      </c>
      <c r="D58" s="269">
        <v>150</v>
      </c>
      <c r="E58" s="268">
        <v>5</v>
      </c>
      <c r="F58" s="243">
        <v>2724</v>
      </c>
      <c r="G58" s="245">
        <v>96</v>
      </c>
      <c r="H58" s="243">
        <v>2598</v>
      </c>
      <c r="I58" s="268"/>
      <c r="J58" s="270">
        <f>G58/D58*100</f>
        <v>64</v>
      </c>
      <c r="K58" s="268">
        <v>5</v>
      </c>
      <c r="L58" s="269">
        <v>54</v>
      </c>
      <c r="M58" s="262">
        <f>L58*21*4000</f>
        <v>4536000</v>
      </c>
      <c r="O58" s="95"/>
    </row>
    <row r="59" spans="1:15" s="89" customFormat="1" ht="15" customHeight="1" thickTop="1">
      <c r="A59" s="104"/>
      <c r="B59" s="221"/>
      <c r="C59" s="221"/>
      <c r="D59" s="221"/>
      <c r="E59" s="221"/>
      <c r="F59" s="222"/>
      <c r="G59" s="222"/>
      <c r="H59" s="222"/>
      <c r="I59" s="222"/>
      <c r="J59" s="222"/>
      <c r="K59" s="237"/>
      <c r="M59" s="95"/>
      <c r="O59" s="95"/>
    </row>
    <row r="60" spans="1:15" ht="15.75">
      <c r="A60" s="83"/>
      <c r="B60" s="83"/>
      <c r="C60" s="83"/>
      <c r="D60" s="199"/>
      <c r="E60" s="83"/>
      <c r="G60" s="263"/>
      <c r="H60" s="277" t="s">
        <v>262</v>
      </c>
      <c r="I60" s="277"/>
      <c r="J60" s="277"/>
      <c r="K60" s="277"/>
      <c r="L60" s="277"/>
      <c r="M60" s="277"/>
    </row>
    <row r="61" spans="1:15" ht="16.5">
      <c r="A61" s="85" t="s">
        <v>120</v>
      </c>
      <c r="B61" s="83"/>
      <c r="C61" s="83"/>
      <c r="D61" s="83"/>
      <c r="E61" s="83"/>
      <c r="H61" s="271" t="s">
        <v>250</v>
      </c>
      <c r="I61" s="271"/>
      <c r="J61" s="271"/>
      <c r="K61" s="271"/>
      <c r="L61" s="271"/>
      <c r="M61" s="271"/>
    </row>
    <row r="62" spans="1:15" ht="16.5">
      <c r="A62" s="86" t="s">
        <v>146</v>
      </c>
      <c r="B62" s="104"/>
      <c r="C62" s="83"/>
      <c r="D62" s="83"/>
      <c r="E62" s="83"/>
      <c r="G62" s="264"/>
      <c r="H62" s="271" t="s">
        <v>251</v>
      </c>
      <c r="I62" s="271"/>
      <c r="J62" s="271"/>
      <c r="K62" s="271"/>
      <c r="L62" s="271"/>
      <c r="M62" s="271"/>
    </row>
    <row r="63" spans="1:15">
      <c r="A63" s="83" t="s">
        <v>255</v>
      </c>
      <c r="B63" s="83"/>
      <c r="C63" s="83"/>
      <c r="D63" s="83"/>
      <c r="E63" s="83"/>
      <c r="F63" s="83"/>
      <c r="G63" s="83"/>
      <c r="H63" s="83"/>
      <c r="I63" s="83"/>
      <c r="J63" s="83"/>
      <c r="K63" s="84"/>
      <c r="L63" t="s">
        <v>72</v>
      </c>
    </row>
    <row r="64" spans="1:15">
      <c r="A64" s="83" t="s">
        <v>256</v>
      </c>
      <c r="B64" s="83"/>
      <c r="C64" s="83"/>
      <c r="D64" s="83"/>
      <c r="E64" s="83"/>
      <c r="F64" s="83"/>
      <c r="G64" s="83"/>
      <c r="H64" s="179"/>
      <c r="I64" s="83"/>
      <c r="J64" s="83"/>
      <c r="K64" s="84"/>
    </row>
    <row r="65" spans="1:8">
      <c r="A65" s="83" t="s">
        <v>257</v>
      </c>
      <c r="H65" t="s">
        <v>72</v>
      </c>
    </row>
    <row r="66" spans="1:8">
      <c r="A66" s="83" t="s">
        <v>260</v>
      </c>
    </row>
  </sheetData>
  <mergeCells count="18">
    <mergeCell ref="A2:B2"/>
    <mergeCell ref="A1:B1"/>
    <mergeCell ref="G1:M1"/>
    <mergeCell ref="G2:M2"/>
    <mergeCell ref="A8:A9"/>
    <mergeCell ref="B8:D8"/>
    <mergeCell ref="E8:H8"/>
    <mergeCell ref="K8:K9"/>
    <mergeCell ref="I8:I9"/>
    <mergeCell ref="L8:L9"/>
    <mergeCell ref="J8:J9"/>
    <mergeCell ref="H62:M62"/>
    <mergeCell ref="A4:M4"/>
    <mergeCell ref="A6:M6"/>
    <mergeCell ref="M8:M9"/>
    <mergeCell ref="A3:B3"/>
    <mergeCell ref="H60:M60"/>
    <mergeCell ref="H61:M61"/>
  </mergeCells>
  <phoneticPr fontId="9" type="noConversion"/>
  <pageMargins left="0.75" right="0.67" top="0.35" bottom="0.18" header="0.5" footer="0.5"/>
  <pageSetup paperSize="9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80"/>
  <sheetViews>
    <sheetView topLeftCell="A64" workbookViewId="0">
      <selection activeCell="J72" sqref="J72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3</v>
      </c>
      <c r="E8" s="34">
        <f>SUM(E9:E12)</f>
        <v>4</v>
      </c>
      <c r="F8" s="34">
        <f>F9</f>
        <v>24</v>
      </c>
      <c r="G8" s="34">
        <f>G10+G11+G12</f>
        <v>83</v>
      </c>
      <c r="H8" s="35">
        <f>SUM(H9:H12)</f>
        <v>107</v>
      </c>
      <c r="I8" s="35">
        <f>SUM(I9:I12)</f>
        <v>112</v>
      </c>
      <c r="J8" s="35">
        <f>SUM(J9:J12)</f>
        <v>385600</v>
      </c>
      <c r="K8" s="35">
        <f>SUM(K9:K12)</f>
        <v>120000</v>
      </c>
      <c r="L8" s="34">
        <f>L9+L10+L11+L12</f>
        <v>0</v>
      </c>
      <c r="M8" s="35">
        <f>SUM(M9:M12)</f>
        <v>505600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2</v>
      </c>
      <c r="E10" s="235">
        <f>D10</f>
        <v>2</v>
      </c>
      <c r="F10" s="235"/>
      <c r="G10" s="235">
        <v>51</v>
      </c>
      <c r="H10" s="30">
        <f>G10</f>
        <v>51</v>
      </c>
      <c r="I10" s="30">
        <f>H10+E10</f>
        <v>53</v>
      </c>
      <c r="J10" s="30">
        <f>3200*I10</f>
        <v>169600</v>
      </c>
      <c r="K10" s="30">
        <f t="shared" ref="K10:K19" si="0">1600*H10</f>
        <v>81600</v>
      </c>
      <c r="L10" s="46"/>
      <c r="M10" s="43">
        <f>J10+K10</f>
        <v>251200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26</v>
      </c>
      <c r="D13" s="37">
        <f>D15+D16+D17+D18+D19</f>
        <v>32</v>
      </c>
      <c r="E13" s="37">
        <f>SUM(E14:E19)</f>
        <v>58</v>
      </c>
      <c r="F13" s="37">
        <f>F14</f>
        <v>390</v>
      </c>
      <c r="G13" s="37">
        <f>G15+G16+G17+G18+G19</f>
        <v>480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7">
        <f>L14+L15+L16+L17+L18+L19</f>
        <v>0</v>
      </c>
      <c r="M13" s="38">
        <f>SUM(M14:M19)</f>
        <v>4361600</v>
      </c>
    </row>
    <row r="14" spans="1:13">
      <c r="A14" s="12"/>
      <c r="B14" s="1" t="s">
        <v>3</v>
      </c>
      <c r="C14" s="235">
        <v>26</v>
      </c>
      <c r="D14" s="235"/>
      <c r="E14" s="235">
        <f>C14</f>
        <v>26</v>
      </c>
      <c r="F14" s="235">
        <f>C14*15</f>
        <v>390</v>
      </c>
      <c r="G14" s="235"/>
      <c r="H14" s="30">
        <f>F14</f>
        <v>390</v>
      </c>
      <c r="I14" s="30">
        <f t="shared" ref="I14:I19" si="1">H14+E14</f>
        <v>416</v>
      </c>
      <c r="J14" s="30">
        <f t="shared" ref="J14:J19" si="2">3200*I14</f>
        <v>1331200</v>
      </c>
      <c r="K14" s="30">
        <f t="shared" si="0"/>
        <v>624000</v>
      </c>
      <c r="L14" s="46"/>
      <c r="M14" s="43">
        <f t="shared" ref="M14:M19" si="3">J14+K14</f>
        <v>1955200</v>
      </c>
    </row>
    <row r="15" spans="1:13">
      <c r="A15" s="12"/>
      <c r="B15" s="1" t="s">
        <v>6</v>
      </c>
      <c r="C15" s="235"/>
      <c r="D15" s="235">
        <v>13</v>
      </c>
      <c r="E15" s="235">
        <f>D15</f>
        <v>13</v>
      </c>
      <c r="F15" s="235"/>
      <c r="G15" s="235">
        <f>D15*15</f>
        <v>195</v>
      </c>
      <c r="H15" s="30">
        <f>G15</f>
        <v>195</v>
      </c>
      <c r="I15" s="30">
        <f t="shared" si="1"/>
        <v>208</v>
      </c>
      <c r="J15" s="30">
        <f t="shared" si="2"/>
        <v>665600</v>
      </c>
      <c r="K15" s="30">
        <f t="shared" si="0"/>
        <v>312000</v>
      </c>
      <c r="L15" s="46"/>
      <c r="M15" s="43">
        <f t="shared" si="3"/>
        <v>977600</v>
      </c>
    </row>
    <row r="16" spans="1:13">
      <c r="A16" s="12"/>
      <c r="B16" s="1" t="s">
        <v>5</v>
      </c>
      <c r="C16" s="235"/>
      <c r="D16" s="235">
        <v>16</v>
      </c>
      <c r="E16" s="235">
        <f>D16</f>
        <v>16</v>
      </c>
      <c r="F16" s="235"/>
      <c r="G16" s="235">
        <f>D16*15</f>
        <v>240</v>
      </c>
      <c r="H16" s="30">
        <f>G16</f>
        <v>240</v>
      </c>
      <c r="I16" s="30">
        <f t="shared" si="1"/>
        <v>256</v>
      </c>
      <c r="J16" s="30">
        <f t="shared" si="2"/>
        <v>819200</v>
      </c>
      <c r="K16" s="30">
        <f t="shared" si="0"/>
        <v>384000</v>
      </c>
      <c r="L16" s="46"/>
      <c r="M16" s="43">
        <f t="shared" si="3"/>
        <v>1203200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75</v>
      </c>
      <c r="E20" s="37">
        <f>E21</f>
        <v>75</v>
      </c>
      <c r="F20" s="37"/>
      <c r="G20" s="37">
        <f t="shared" ref="G20:M20" si="4">G21</f>
        <v>1289</v>
      </c>
      <c r="H20" s="37">
        <f t="shared" si="4"/>
        <v>1289</v>
      </c>
      <c r="I20" s="37">
        <f t="shared" si="4"/>
        <v>1370</v>
      </c>
      <c r="J20" s="37">
        <f t="shared" si="4"/>
        <v>4384000</v>
      </c>
      <c r="K20" s="37">
        <f t="shared" si="4"/>
        <v>0</v>
      </c>
      <c r="L20" s="47">
        <f t="shared" si="4"/>
        <v>0</v>
      </c>
      <c r="M20" s="38">
        <f t="shared" si="4"/>
        <v>4384000</v>
      </c>
    </row>
    <row r="21" spans="1:13">
      <c r="A21" s="10"/>
      <c r="B21" s="24" t="s">
        <v>19</v>
      </c>
      <c r="C21" s="235"/>
      <c r="D21" s="235">
        <v>75</v>
      </c>
      <c r="E21" s="235">
        <f>D21</f>
        <v>75</v>
      </c>
      <c r="F21" s="235"/>
      <c r="G21" s="235">
        <v>1289</v>
      </c>
      <c r="H21" s="30">
        <f>G20</f>
        <v>1289</v>
      </c>
      <c r="I21" s="30">
        <v>1370</v>
      </c>
      <c r="J21" s="30">
        <f>3200*I21</f>
        <v>4384000</v>
      </c>
      <c r="K21" s="30"/>
      <c r="L21" s="46"/>
      <c r="M21" s="43">
        <f>J21+K21</f>
        <v>4384000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4</v>
      </c>
      <c r="E28" s="37">
        <f>E29+E30</f>
        <v>7</v>
      </c>
      <c r="F28" s="37">
        <f>F29</f>
        <v>76</v>
      </c>
      <c r="G28" s="37">
        <f>G30</f>
        <v>92</v>
      </c>
      <c r="H28" s="38">
        <f t="shared" ref="H28:M28" si="8">H29+H30</f>
        <v>168</v>
      </c>
      <c r="I28" s="38">
        <f t="shared" si="8"/>
        <v>175</v>
      </c>
      <c r="J28" s="38">
        <f t="shared" si="8"/>
        <v>560000</v>
      </c>
      <c r="K28" s="38">
        <f t="shared" si="8"/>
        <v>268800</v>
      </c>
      <c r="L28" s="48">
        <f t="shared" si="8"/>
        <v>0</v>
      </c>
      <c r="M28" s="216">
        <f t="shared" si="8"/>
        <v>828800</v>
      </c>
    </row>
    <row r="29" spans="1:13">
      <c r="A29" s="12"/>
      <c r="B29" s="1" t="s">
        <v>3</v>
      </c>
      <c r="C29" s="235">
        <v>3</v>
      </c>
      <c r="D29" s="235"/>
      <c r="E29" s="235">
        <f>C29</f>
        <v>3</v>
      </c>
      <c r="F29" s="235">
        <v>76</v>
      </c>
      <c r="G29" s="235"/>
      <c r="H29" s="30">
        <f>F29</f>
        <v>76</v>
      </c>
      <c r="I29" s="30">
        <f>H29+E29</f>
        <v>79</v>
      </c>
      <c r="J29" s="30">
        <f>3200*I29</f>
        <v>252800</v>
      </c>
      <c r="K29" s="30">
        <f>1600*H29</f>
        <v>121600</v>
      </c>
      <c r="L29" s="46"/>
      <c r="M29" s="43">
        <f>J29+K29</f>
        <v>374400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92</v>
      </c>
      <c r="H30" s="30">
        <f>G30</f>
        <v>92</v>
      </c>
      <c r="I30" s="30">
        <f>H30+E30</f>
        <v>96</v>
      </c>
      <c r="J30" s="30">
        <f>3200*I30</f>
        <v>307200</v>
      </c>
      <c r="K30" s="30">
        <f>1600*H30</f>
        <v>147200</v>
      </c>
      <c r="L30" s="46"/>
      <c r="M30" s="43">
        <f>J30+K30+M62</f>
        <v>454400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23</v>
      </c>
      <c r="E31" s="37">
        <f t="shared" si="9"/>
        <v>23</v>
      </c>
      <c r="F31" s="37">
        <f t="shared" si="9"/>
        <v>0</v>
      </c>
      <c r="G31" s="37">
        <f t="shared" si="9"/>
        <v>345</v>
      </c>
      <c r="H31" s="37">
        <f t="shared" si="9"/>
        <v>345</v>
      </c>
      <c r="I31" s="37">
        <f t="shared" si="9"/>
        <v>368</v>
      </c>
      <c r="J31" s="37">
        <f t="shared" si="9"/>
        <v>1177600</v>
      </c>
      <c r="K31" s="37">
        <f t="shared" si="9"/>
        <v>0</v>
      </c>
      <c r="L31" s="37">
        <f t="shared" si="9"/>
        <v>0</v>
      </c>
      <c r="M31" s="38">
        <f t="shared" si="9"/>
        <v>1177600</v>
      </c>
    </row>
    <row r="32" spans="1:13">
      <c r="A32" s="10"/>
      <c r="B32" s="24" t="s">
        <v>19</v>
      </c>
      <c r="C32" s="235"/>
      <c r="D32" s="235">
        <v>23</v>
      </c>
      <c r="E32" s="235">
        <f>D32</f>
        <v>23</v>
      </c>
      <c r="F32" s="235"/>
      <c r="G32" s="235">
        <f>E32*15</f>
        <v>345</v>
      </c>
      <c r="H32" s="30">
        <f>G32</f>
        <v>345</v>
      </c>
      <c r="I32" s="30">
        <f>H32+E32</f>
        <v>368</v>
      </c>
      <c r="J32" s="30">
        <f>3200*I32</f>
        <v>1177600</v>
      </c>
      <c r="K32" s="30"/>
      <c r="L32" s="46"/>
      <c r="M32" s="43">
        <f>J32+K32</f>
        <v>1177600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151</v>
      </c>
      <c r="G33" s="37">
        <f>G35+G36</f>
        <v>239</v>
      </c>
      <c r="H33" s="38">
        <f t="shared" ref="H33:M33" si="10">H34+H35+H36</f>
        <v>390</v>
      </c>
      <c r="I33" s="38">
        <f t="shared" si="10"/>
        <v>405</v>
      </c>
      <c r="J33" s="35">
        <f t="shared" si="10"/>
        <v>1296000</v>
      </c>
      <c r="K33" s="35">
        <f t="shared" si="10"/>
        <v>624000</v>
      </c>
      <c r="L33" s="47">
        <f t="shared" si="10"/>
        <v>0</v>
      </c>
      <c r="M33" s="216">
        <f t="shared" si="10"/>
        <v>1963200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151</v>
      </c>
      <c r="G34" s="235"/>
      <c r="H34" s="30">
        <f>F34</f>
        <v>151</v>
      </c>
      <c r="I34" s="30">
        <f>H34+E34</f>
        <v>157</v>
      </c>
      <c r="J34" s="30">
        <f>3200*I34</f>
        <v>502400</v>
      </c>
      <c r="K34" s="30">
        <f>1600*H34</f>
        <v>241600</v>
      </c>
      <c r="L34" s="46"/>
      <c r="M34" s="43">
        <f>J34+K34</f>
        <v>744000</v>
      </c>
    </row>
    <row r="35" spans="1:13">
      <c r="A35" s="13"/>
      <c r="B35" s="1" t="s">
        <v>12</v>
      </c>
      <c r="C35" s="235"/>
      <c r="D35" s="235">
        <v>9</v>
      </c>
      <c r="E35" s="235">
        <f>D35</f>
        <v>9</v>
      </c>
      <c r="F35" s="235"/>
      <c r="G35" s="235">
        <v>239</v>
      </c>
      <c r="H35" s="30">
        <f>G35</f>
        <v>239</v>
      </c>
      <c r="I35" s="30">
        <f>H35+E35</f>
        <v>248</v>
      </c>
      <c r="J35" s="30">
        <f>3200*I35</f>
        <v>793600</v>
      </c>
      <c r="K35" s="30">
        <f>1600*H35</f>
        <v>382400</v>
      </c>
      <c r="L35" s="46"/>
      <c r="M35" s="43">
        <f>J35+K35+M63</f>
        <v>1219200</v>
      </c>
    </row>
    <row r="36" spans="1:13">
      <c r="A36" s="13"/>
      <c r="B36" s="96" t="s">
        <v>128</v>
      </c>
      <c r="C36" s="235"/>
      <c r="D36" s="235"/>
      <c r="E36" s="235">
        <f>D36</f>
        <v>0</v>
      </c>
      <c r="F36" s="235"/>
      <c r="G36" s="235"/>
      <c r="H36" s="30">
        <f>G36</f>
        <v>0</v>
      </c>
      <c r="I36" s="30"/>
      <c r="J36" s="30">
        <f>4000*I36</f>
        <v>0</v>
      </c>
      <c r="K36" s="30"/>
      <c r="L36" s="46"/>
      <c r="M36" s="43">
        <f>J36+K36</f>
        <v>0</v>
      </c>
    </row>
    <row r="37" spans="1:13">
      <c r="A37" s="36">
        <v>10</v>
      </c>
      <c r="B37" s="33" t="s">
        <v>28</v>
      </c>
      <c r="C37" s="37"/>
      <c r="D37" s="37">
        <f>D38</f>
        <v>22</v>
      </c>
      <c r="E37" s="37">
        <f>E38</f>
        <v>22</v>
      </c>
      <c r="F37" s="37"/>
      <c r="G37" s="37">
        <f t="shared" ref="G37:M37" si="11">G38</f>
        <v>330</v>
      </c>
      <c r="H37" s="38">
        <f t="shared" si="11"/>
        <v>330</v>
      </c>
      <c r="I37" s="38">
        <f t="shared" si="11"/>
        <v>352</v>
      </c>
      <c r="J37" s="38">
        <f t="shared" si="11"/>
        <v>1408000</v>
      </c>
      <c r="K37" s="38">
        <f t="shared" si="11"/>
        <v>0</v>
      </c>
      <c r="L37" s="48">
        <f t="shared" si="11"/>
        <v>0</v>
      </c>
      <c r="M37" s="216">
        <f t="shared" si="11"/>
        <v>1408000</v>
      </c>
    </row>
    <row r="38" spans="1:13">
      <c r="A38" s="13"/>
      <c r="B38" s="96" t="s">
        <v>128</v>
      </c>
      <c r="C38" s="235"/>
      <c r="D38" s="235">
        <v>22</v>
      </c>
      <c r="E38" s="235">
        <f>D38</f>
        <v>22</v>
      </c>
      <c r="F38" s="235"/>
      <c r="G38" s="235">
        <f>E38*15</f>
        <v>330</v>
      </c>
      <c r="H38" s="30">
        <f>G38</f>
        <v>330</v>
      </c>
      <c r="I38" s="30">
        <f>H38+E38</f>
        <v>352</v>
      </c>
      <c r="J38" s="30">
        <f>4000*I38</f>
        <v>1408000</v>
      </c>
      <c r="K38" s="30"/>
      <c r="L38" s="46"/>
      <c r="M38" s="43">
        <f>J38+K38</f>
        <v>1408000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40</v>
      </c>
      <c r="H39" s="38">
        <f t="shared" si="12"/>
        <v>40</v>
      </c>
      <c r="I39" s="38">
        <f t="shared" si="12"/>
        <v>42</v>
      </c>
      <c r="J39" s="45">
        <f t="shared" si="12"/>
        <v>180600</v>
      </c>
      <c r="K39" s="45">
        <f t="shared" si="12"/>
        <v>60000</v>
      </c>
      <c r="L39" s="47">
        <f t="shared" si="12"/>
        <v>0</v>
      </c>
      <c r="M39" s="216">
        <f t="shared" si="12"/>
        <v>240600</v>
      </c>
    </row>
    <row r="40" spans="1:13">
      <c r="A40" s="9"/>
      <c r="B40" s="24" t="s">
        <v>13</v>
      </c>
      <c r="C40" s="235"/>
      <c r="D40" s="235"/>
      <c r="E40" s="235">
        <f>D40</f>
        <v>0</v>
      </c>
      <c r="F40" s="235"/>
      <c r="G40" s="235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35"/>
      <c r="D41" s="235">
        <v>1</v>
      </c>
      <c r="E41" s="235">
        <f>D41</f>
        <v>1</v>
      </c>
      <c r="F41" s="235"/>
      <c r="G41" s="235">
        <f>E41*40</f>
        <v>40</v>
      </c>
      <c r="H41" s="30">
        <f>G41</f>
        <v>40</v>
      </c>
      <c r="I41" s="30">
        <f>E41*42</f>
        <v>42</v>
      </c>
      <c r="J41" s="30">
        <f>4300*I41</f>
        <v>180600</v>
      </c>
      <c r="K41" s="30">
        <f>1500*H41</f>
        <v>60000</v>
      </c>
      <c r="L41" s="46"/>
      <c r="M41" s="43">
        <f>J41+K41</f>
        <v>240600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88</v>
      </c>
      <c r="H49" s="37">
        <f t="shared" si="16"/>
        <v>88</v>
      </c>
      <c r="I49" s="37">
        <f t="shared" si="16"/>
        <v>93</v>
      </c>
      <c r="J49" s="37">
        <f t="shared" si="16"/>
        <v>359200</v>
      </c>
      <c r="K49" s="37">
        <f t="shared" si="16"/>
        <v>24000</v>
      </c>
      <c r="L49" s="37">
        <f t="shared" si="16"/>
        <v>0</v>
      </c>
      <c r="M49" s="219">
        <f t="shared" si="16"/>
        <v>383200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1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36</v>
      </c>
      <c r="D64" s="42">
        <f>D8+D13+D20+D22+D24+D26+D28+D31+D33+D37+D39+D44+D47+D49+D52+D54+D56+D58</f>
        <v>183</v>
      </c>
      <c r="E64" s="42">
        <f>E8+E13+E20+E22+E24+E26+E28+E31+E33+E37+E39+E44+E47+E49+E52+E54+E56+E58+E60</f>
        <v>219</v>
      </c>
      <c r="F64" s="42">
        <f>F8+F13+F28+F33+F60</f>
        <v>641</v>
      </c>
      <c r="G64" s="42">
        <f>G8+G13+G20+G22+G24+G26+G28+G31+G33+G37+G39+G44+G47+G49+G52+G54+G56+G58</f>
        <v>3288</v>
      </c>
      <c r="H64" s="42">
        <f>H8+H13+H20+H22+H24+H26+H28+H31+H33+H37+H39+H44+H47+H49+H52+H54+H56+H58+H60</f>
        <v>3929</v>
      </c>
      <c r="I64" s="42">
        <f>I8+I13+I20+I22+I24+I26+I28+I31+I33+I37+I39+I44+I47+I49+I52+I54+I56+I58+I60</f>
        <v>4161</v>
      </c>
      <c r="J64" s="42">
        <f>J8+J13+J20+J22+J24+J26+J28+J31+J33+J37+J39+J44+J47+J49+J52+J54+J56+J58</f>
        <v>14178960</v>
      </c>
      <c r="K64" s="42">
        <f>K8+K13+K20+K22+K24+K26+K28+K31+K33+K37+K39+K44+K47+K49+K52+K54+K56+K58</f>
        <v>3050200</v>
      </c>
      <c r="L64" s="50"/>
      <c r="M64" s="42">
        <f>M8+M13+M20+M22+M24+M26+M28+M31+M33+M37+M39+M44+M47+M49+M52+M54+M56+M58+M60+M65+M66</f>
        <v>17357360</v>
      </c>
    </row>
    <row r="65" spans="2:13" ht="14.25" thickTop="1" thickBot="1">
      <c r="D65" s="337"/>
      <c r="E65" s="337"/>
      <c r="J65" s="115"/>
      <c r="K65" s="149" t="s">
        <v>96</v>
      </c>
      <c r="L65" s="147">
        <v>2</v>
      </c>
      <c r="M65" s="149">
        <f>20000*L65</f>
        <v>40000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>
        <v>0</v>
      </c>
      <c r="G67" s="145">
        <v>14</v>
      </c>
      <c r="H67" s="119"/>
      <c r="K67" s="97" t="s">
        <v>32</v>
      </c>
      <c r="L67" s="234">
        <f>L65+L66</f>
        <v>5</v>
      </c>
    </row>
    <row r="68" spans="2:13" ht="13.5" thickBot="1">
      <c r="B68" s="120" t="s">
        <v>75</v>
      </c>
      <c r="C68" s="131">
        <f t="shared" ref="C68:C74" si="20">F68+G68</f>
        <v>18</v>
      </c>
      <c r="D68" s="342">
        <f>C68*30000</f>
        <v>540000</v>
      </c>
      <c r="E68" s="343"/>
      <c r="F68" s="122">
        <v>8</v>
      </c>
      <c r="G68" s="139">
        <v>10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56</v>
      </c>
      <c r="D69" s="329">
        <f>C69*35000</f>
        <v>1960000</v>
      </c>
      <c r="E69" s="330"/>
      <c r="F69" s="121">
        <v>12</v>
      </c>
      <c r="G69" s="138">
        <v>44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21</v>
      </c>
      <c r="D70" s="329">
        <f>C70*20000</f>
        <v>420000</v>
      </c>
      <c r="E70" s="330"/>
      <c r="F70" s="121">
        <v>11</v>
      </c>
      <c r="G70" s="138">
        <v>10</v>
      </c>
      <c r="H70" s="135"/>
      <c r="I70" s="97"/>
      <c r="K70" s="109" t="s">
        <v>132</v>
      </c>
      <c r="L70" s="163">
        <f>C77</f>
        <v>98.5</v>
      </c>
      <c r="M70" s="110">
        <f>D77</f>
        <v>3270000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141</v>
      </c>
      <c r="M71" s="112">
        <f>D78+D79</f>
        <v>1668000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51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98.5</v>
      </c>
      <c r="D77" s="344">
        <f>SUM(D67:E76)</f>
        <v>3270000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48</v>
      </c>
      <c r="D78" s="346">
        <v>594000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93</v>
      </c>
      <c r="D79" s="348">
        <v>1074000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80"/>
  <sheetViews>
    <sheetView topLeftCell="A66" workbookViewId="0">
      <selection activeCell="L73" sqref="L73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5</v>
      </c>
      <c r="E8" s="34">
        <f>SUM(E9:E12)</f>
        <v>6</v>
      </c>
      <c r="F8" s="34">
        <f>F9</f>
        <v>24</v>
      </c>
      <c r="G8" s="34">
        <f>G10+G11+G12</f>
        <v>140</v>
      </c>
      <c r="H8" s="35">
        <f>SUM(H9:H12)</f>
        <v>164</v>
      </c>
      <c r="I8" s="35">
        <f>SUM(I9:I12)</f>
        <v>171</v>
      </c>
      <c r="J8" s="35">
        <f>SUM(J9:J12)</f>
        <v>574400</v>
      </c>
      <c r="K8" s="35">
        <f>SUM(K9:K12)</f>
        <v>211200</v>
      </c>
      <c r="L8" s="34">
        <f>L9+L10+L11+L12</f>
        <v>0</v>
      </c>
      <c r="M8" s="35">
        <f>SUM(M9:M12)</f>
        <v>785600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4</v>
      </c>
      <c r="E10" s="235">
        <f>D10</f>
        <v>4</v>
      </c>
      <c r="F10" s="235"/>
      <c r="G10" s="235">
        <v>108</v>
      </c>
      <c r="H10" s="30">
        <f>G10</f>
        <v>108</v>
      </c>
      <c r="I10" s="30">
        <f>H10+E10</f>
        <v>112</v>
      </c>
      <c r="J10" s="30">
        <f>3200*I10</f>
        <v>358400</v>
      </c>
      <c r="K10" s="30">
        <f t="shared" ref="K10:K19" si="0">1600*H10</f>
        <v>172800</v>
      </c>
      <c r="L10" s="46"/>
      <c r="M10" s="43">
        <f>J10+K10</f>
        <v>531200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25</v>
      </c>
      <c r="D13" s="37">
        <f>D15+D16+D17+D18+D19</f>
        <v>33</v>
      </c>
      <c r="E13" s="37">
        <f>SUM(E14:E19)</f>
        <v>58</v>
      </c>
      <c r="F13" s="37">
        <f>F14</f>
        <v>375</v>
      </c>
      <c r="G13" s="37">
        <f>G15+G16+G17+G18+G19</f>
        <v>495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7">
        <f>L14+L15+L16+L17+L18+L19</f>
        <v>0</v>
      </c>
      <c r="M13" s="38">
        <f>SUM(M14:M19)</f>
        <v>4361600</v>
      </c>
    </row>
    <row r="14" spans="1:13">
      <c r="A14" s="12"/>
      <c r="B14" s="1" t="s">
        <v>3</v>
      </c>
      <c r="C14" s="235">
        <v>25</v>
      </c>
      <c r="D14" s="235"/>
      <c r="E14" s="235">
        <f>C14</f>
        <v>25</v>
      </c>
      <c r="F14" s="235">
        <f>C14*15</f>
        <v>375</v>
      </c>
      <c r="G14" s="235"/>
      <c r="H14" s="30">
        <f>F14</f>
        <v>375</v>
      </c>
      <c r="I14" s="30">
        <f t="shared" ref="I14:I19" si="1">H14+E14</f>
        <v>400</v>
      </c>
      <c r="J14" s="30">
        <f t="shared" ref="J14:J19" si="2">3200*I14</f>
        <v>1280000</v>
      </c>
      <c r="K14" s="30">
        <f t="shared" si="0"/>
        <v>600000</v>
      </c>
      <c r="L14" s="46"/>
      <c r="M14" s="43">
        <f t="shared" ref="M14:M19" si="3">J14+K14</f>
        <v>1880000</v>
      </c>
    </row>
    <row r="15" spans="1:13">
      <c r="A15" s="12"/>
      <c r="B15" s="1" t="s">
        <v>6</v>
      </c>
      <c r="C15" s="235"/>
      <c r="D15" s="235">
        <v>13</v>
      </c>
      <c r="E15" s="235">
        <f>D15</f>
        <v>13</v>
      </c>
      <c r="F15" s="235"/>
      <c r="G15" s="235">
        <f>D15*15</f>
        <v>195</v>
      </c>
      <c r="H15" s="30">
        <f>G15</f>
        <v>195</v>
      </c>
      <c r="I15" s="30">
        <f t="shared" si="1"/>
        <v>208</v>
      </c>
      <c r="J15" s="30">
        <f t="shared" si="2"/>
        <v>665600</v>
      </c>
      <c r="K15" s="30">
        <f t="shared" si="0"/>
        <v>312000</v>
      </c>
      <c r="L15" s="46"/>
      <c r="M15" s="43">
        <f t="shared" si="3"/>
        <v>977600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85</v>
      </c>
      <c r="E20" s="37">
        <f>E21</f>
        <v>85</v>
      </c>
      <c r="F20" s="37"/>
      <c r="G20" s="37">
        <f t="shared" ref="G20:M20" si="4">G21</f>
        <v>1461</v>
      </c>
      <c r="H20" s="37">
        <f t="shared" si="4"/>
        <v>1461</v>
      </c>
      <c r="I20" s="37">
        <f t="shared" si="4"/>
        <v>1553</v>
      </c>
      <c r="J20" s="37">
        <f t="shared" si="4"/>
        <v>4969600</v>
      </c>
      <c r="K20" s="37">
        <f t="shared" si="4"/>
        <v>0</v>
      </c>
      <c r="L20" s="47">
        <f t="shared" si="4"/>
        <v>0</v>
      </c>
      <c r="M20" s="38">
        <f t="shared" si="4"/>
        <v>4969600</v>
      </c>
    </row>
    <row r="21" spans="1:13">
      <c r="A21" s="10"/>
      <c r="B21" s="24" t="s">
        <v>19</v>
      </c>
      <c r="C21" s="235"/>
      <c r="D21" s="235">
        <v>85</v>
      </c>
      <c r="E21" s="235">
        <f>D21</f>
        <v>85</v>
      </c>
      <c r="F21" s="235"/>
      <c r="G21" s="235">
        <v>1461</v>
      </c>
      <c r="H21" s="30">
        <f>G20</f>
        <v>1461</v>
      </c>
      <c r="I21" s="30">
        <v>1553</v>
      </c>
      <c r="J21" s="30">
        <f>3200*I21</f>
        <v>4969600</v>
      </c>
      <c r="K21" s="30"/>
      <c r="L21" s="46"/>
      <c r="M21" s="43">
        <f>J21+K21</f>
        <v>4969600</v>
      </c>
    </row>
    <row r="22" spans="1:13">
      <c r="A22" s="36">
        <v>4</v>
      </c>
      <c r="B22" s="33" t="s">
        <v>23</v>
      </c>
      <c r="C22" s="37"/>
      <c r="D22" s="37">
        <f>D23</f>
        <v>0</v>
      </c>
      <c r="E22" s="37">
        <f>E23</f>
        <v>0</v>
      </c>
      <c r="F22" s="37"/>
      <c r="G22" s="37">
        <f t="shared" ref="G22:M22" si="5">G23</f>
        <v>0</v>
      </c>
      <c r="H22" s="38">
        <f t="shared" si="5"/>
        <v>0</v>
      </c>
      <c r="I22" s="38">
        <f t="shared" si="5"/>
        <v>0</v>
      </c>
      <c r="J22" s="38">
        <f t="shared" si="5"/>
        <v>0</v>
      </c>
      <c r="K22" s="38">
        <f t="shared" si="5"/>
        <v>0</v>
      </c>
      <c r="L22" s="47">
        <f t="shared" si="5"/>
        <v>0</v>
      </c>
      <c r="M22" s="44">
        <f t="shared" si="5"/>
        <v>0</v>
      </c>
    </row>
    <row r="23" spans="1:13">
      <c r="A23" s="15"/>
      <c r="B23" s="3" t="s">
        <v>9</v>
      </c>
      <c r="C23" s="235"/>
      <c r="D23" s="235"/>
      <c r="E23" s="235">
        <f>D22</f>
        <v>0</v>
      </c>
      <c r="F23" s="235"/>
      <c r="G23" s="235">
        <f>E23*32</f>
        <v>0</v>
      </c>
      <c r="H23" s="30">
        <f>G22</f>
        <v>0</v>
      </c>
      <c r="I23" s="235">
        <f>H23+E23*2</f>
        <v>0</v>
      </c>
      <c r="J23" s="30">
        <f>3200*I23</f>
        <v>0</v>
      </c>
      <c r="K23" s="30">
        <f>1600*H23</f>
        <v>0</v>
      </c>
      <c r="L23" s="46"/>
      <c r="M23" s="43">
        <f>J23+K23</f>
        <v>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4</v>
      </c>
      <c r="E28" s="37">
        <f>E29+E30</f>
        <v>7</v>
      </c>
      <c r="F28" s="37">
        <f>F29</f>
        <v>76</v>
      </c>
      <c r="G28" s="37">
        <f>G30</f>
        <v>100</v>
      </c>
      <c r="H28" s="38">
        <f t="shared" ref="H28:M28" si="8">H29+H30</f>
        <v>176</v>
      </c>
      <c r="I28" s="38">
        <f t="shared" si="8"/>
        <v>183</v>
      </c>
      <c r="J28" s="38">
        <f t="shared" si="8"/>
        <v>585600</v>
      </c>
      <c r="K28" s="38">
        <f t="shared" si="8"/>
        <v>281600</v>
      </c>
      <c r="L28" s="48">
        <f t="shared" si="8"/>
        <v>0</v>
      </c>
      <c r="M28" s="216">
        <f t="shared" si="8"/>
        <v>867200</v>
      </c>
    </row>
    <row r="29" spans="1:13">
      <c r="A29" s="12"/>
      <c r="B29" s="1" t="s">
        <v>3</v>
      </c>
      <c r="C29" s="235">
        <v>3</v>
      </c>
      <c r="D29" s="235"/>
      <c r="E29" s="235">
        <f>C29</f>
        <v>3</v>
      </c>
      <c r="F29" s="235">
        <v>76</v>
      </c>
      <c r="G29" s="235"/>
      <c r="H29" s="30">
        <f>F29</f>
        <v>76</v>
      </c>
      <c r="I29" s="30">
        <f>H29+E29</f>
        <v>79</v>
      </c>
      <c r="J29" s="30">
        <f>3200*I29</f>
        <v>252800</v>
      </c>
      <c r="K29" s="30">
        <f>1600*H29</f>
        <v>121600</v>
      </c>
      <c r="L29" s="46"/>
      <c r="M29" s="43">
        <f>J29+K29</f>
        <v>374400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100</v>
      </c>
      <c r="H30" s="30">
        <f>G30</f>
        <v>100</v>
      </c>
      <c r="I30" s="30">
        <f>H30+E30</f>
        <v>104</v>
      </c>
      <c r="J30" s="30">
        <f>3200*I30</f>
        <v>332800</v>
      </c>
      <c r="K30" s="30">
        <f>1600*H30</f>
        <v>160000</v>
      </c>
      <c r="L30" s="46"/>
      <c r="M30" s="43">
        <f>J30+K30+M62</f>
        <v>492800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29</v>
      </c>
      <c r="E31" s="37">
        <f t="shared" si="9"/>
        <v>29</v>
      </c>
      <c r="F31" s="37">
        <f t="shared" si="9"/>
        <v>0</v>
      </c>
      <c r="G31" s="37">
        <f t="shared" si="9"/>
        <v>435</v>
      </c>
      <c r="H31" s="37">
        <f t="shared" si="9"/>
        <v>435</v>
      </c>
      <c r="I31" s="37">
        <f t="shared" si="9"/>
        <v>464</v>
      </c>
      <c r="J31" s="37">
        <f t="shared" si="9"/>
        <v>1484800</v>
      </c>
      <c r="K31" s="37">
        <f t="shared" si="9"/>
        <v>0</v>
      </c>
      <c r="L31" s="37">
        <f t="shared" si="9"/>
        <v>0</v>
      </c>
      <c r="M31" s="38">
        <f t="shared" si="9"/>
        <v>1484800</v>
      </c>
    </row>
    <row r="32" spans="1:13">
      <c r="A32" s="10"/>
      <c r="B32" s="24" t="s">
        <v>19</v>
      </c>
      <c r="C32" s="235"/>
      <c r="D32" s="235">
        <v>29</v>
      </c>
      <c r="E32" s="235">
        <f>D32</f>
        <v>29</v>
      </c>
      <c r="F32" s="235"/>
      <c r="G32" s="235">
        <f>E32*15</f>
        <v>435</v>
      </c>
      <c r="H32" s="30">
        <f>G32</f>
        <v>435</v>
      </c>
      <c r="I32" s="30">
        <f>H32+E32</f>
        <v>464</v>
      </c>
      <c r="J32" s="30">
        <f>3200*I32</f>
        <v>1484800</v>
      </c>
      <c r="K32" s="30"/>
      <c r="L32" s="46"/>
      <c r="M32" s="43">
        <f>J32+K32</f>
        <v>1484800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11</v>
      </c>
      <c r="E33" s="37">
        <f>E34+E35+E36</f>
        <v>17</v>
      </c>
      <c r="F33" s="37">
        <f>F34</f>
        <v>143</v>
      </c>
      <c r="G33" s="37">
        <f>G35+G36</f>
        <v>299</v>
      </c>
      <c r="H33" s="38">
        <f t="shared" ref="H33:M33" si="10">H34+H35+H36</f>
        <v>442</v>
      </c>
      <c r="I33" s="38">
        <f t="shared" si="10"/>
        <v>461</v>
      </c>
      <c r="J33" s="35">
        <f t="shared" si="10"/>
        <v>1554400</v>
      </c>
      <c r="K33" s="35">
        <f t="shared" si="10"/>
        <v>556800</v>
      </c>
      <c r="L33" s="47">
        <f t="shared" si="10"/>
        <v>0</v>
      </c>
      <c r="M33" s="216">
        <f t="shared" si="10"/>
        <v>2154400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143</v>
      </c>
      <c r="G34" s="235"/>
      <c r="H34" s="30">
        <f>F34</f>
        <v>143</v>
      </c>
      <c r="I34" s="30">
        <f>H34+E34</f>
        <v>149</v>
      </c>
      <c r="J34" s="30">
        <f>3200*I34</f>
        <v>476800</v>
      </c>
      <c r="K34" s="30">
        <f>1600*H34</f>
        <v>228800</v>
      </c>
      <c r="L34" s="46"/>
      <c r="M34" s="43">
        <f>J34+K34</f>
        <v>705600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205</v>
      </c>
      <c r="H35" s="30">
        <f>G35</f>
        <v>205</v>
      </c>
      <c r="I35" s="30">
        <f>H35+E35</f>
        <v>213</v>
      </c>
      <c r="J35" s="30">
        <f>3200*I35</f>
        <v>681600</v>
      </c>
      <c r="K35" s="30">
        <f>1600*H35</f>
        <v>328000</v>
      </c>
      <c r="L35" s="46"/>
      <c r="M35" s="43">
        <f>J35+K35+M63</f>
        <v>1052800</v>
      </c>
    </row>
    <row r="36" spans="1:13">
      <c r="A36" s="13"/>
      <c r="B36" s="96" t="s">
        <v>128</v>
      </c>
      <c r="C36" s="235"/>
      <c r="D36" s="235">
        <v>3</v>
      </c>
      <c r="E36" s="235">
        <f>D36</f>
        <v>3</v>
      </c>
      <c r="F36" s="235"/>
      <c r="G36" s="235">
        <v>94</v>
      </c>
      <c r="H36" s="30">
        <f>G36</f>
        <v>94</v>
      </c>
      <c r="I36" s="30">
        <v>99</v>
      </c>
      <c r="J36" s="30">
        <f>4000*I36</f>
        <v>396000</v>
      </c>
      <c r="K36" s="30"/>
      <c r="L36" s="46"/>
      <c r="M36" s="43">
        <f>J36+K36</f>
        <v>396000</v>
      </c>
    </row>
    <row r="37" spans="1:13">
      <c r="A37" s="36">
        <v>10</v>
      </c>
      <c r="B37" s="33" t="s">
        <v>28</v>
      </c>
      <c r="C37" s="37"/>
      <c r="D37" s="37">
        <f>D38</f>
        <v>24</v>
      </c>
      <c r="E37" s="37">
        <f>E38</f>
        <v>24</v>
      </c>
      <c r="F37" s="37"/>
      <c r="G37" s="37">
        <f t="shared" ref="G37:M37" si="11">G38</f>
        <v>360</v>
      </c>
      <c r="H37" s="38">
        <f t="shared" si="11"/>
        <v>360</v>
      </c>
      <c r="I37" s="38">
        <f t="shared" si="11"/>
        <v>384</v>
      </c>
      <c r="J37" s="38">
        <f t="shared" si="11"/>
        <v>1536000</v>
      </c>
      <c r="K37" s="38">
        <f t="shared" si="11"/>
        <v>0</v>
      </c>
      <c r="L37" s="48">
        <f t="shared" si="11"/>
        <v>0</v>
      </c>
      <c r="M37" s="216">
        <f t="shared" si="11"/>
        <v>1536000</v>
      </c>
    </row>
    <row r="38" spans="1:13">
      <c r="A38" s="13"/>
      <c r="B38" s="96" t="s">
        <v>128</v>
      </c>
      <c r="C38" s="235"/>
      <c r="D38" s="235">
        <v>24</v>
      </c>
      <c r="E38" s="235">
        <f>D38</f>
        <v>24</v>
      </c>
      <c r="F38" s="235"/>
      <c r="G38" s="235">
        <f>E38*15</f>
        <v>360</v>
      </c>
      <c r="H38" s="30">
        <f>G38</f>
        <v>360</v>
      </c>
      <c r="I38" s="30">
        <f>H38+E38</f>
        <v>384</v>
      </c>
      <c r="J38" s="30">
        <f>4000*I38</f>
        <v>1536000</v>
      </c>
      <c r="K38" s="30"/>
      <c r="L38" s="46"/>
      <c r="M38" s="43">
        <f>J38+K38</f>
        <v>1536000</v>
      </c>
    </row>
    <row r="39" spans="1:13">
      <c r="A39" s="36">
        <v>11</v>
      </c>
      <c r="B39" s="33" t="s">
        <v>44</v>
      </c>
      <c r="C39" s="37"/>
      <c r="D39" s="37">
        <f>D40+D41+D42+D43</f>
        <v>0</v>
      </c>
      <c r="E39" s="37">
        <f>E40+E41+E42+E43</f>
        <v>0</v>
      </c>
      <c r="F39" s="37"/>
      <c r="G39" s="37">
        <f t="shared" ref="G39:M39" si="12">G40+G41+G42+G43</f>
        <v>0</v>
      </c>
      <c r="H39" s="38">
        <f t="shared" si="12"/>
        <v>0</v>
      </c>
      <c r="I39" s="38">
        <f t="shared" si="12"/>
        <v>0</v>
      </c>
      <c r="J39" s="45">
        <f t="shared" si="12"/>
        <v>0</v>
      </c>
      <c r="K39" s="45">
        <f t="shared" si="12"/>
        <v>0</v>
      </c>
      <c r="L39" s="47">
        <f t="shared" si="12"/>
        <v>0</v>
      </c>
      <c r="M39" s="216">
        <f t="shared" si="12"/>
        <v>0</v>
      </c>
    </row>
    <row r="40" spans="1:13">
      <c r="A40" s="9"/>
      <c r="B40" s="24" t="s">
        <v>13</v>
      </c>
      <c r="C40" s="235"/>
      <c r="D40" s="235"/>
      <c r="E40" s="235">
        <f>D40</f>
        <v>0</v>
      </c>
      <c r="F40" s="235"/>
      <c r="G40" s="235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101</v>
      </c>
      <c r="H49" s="37">
        <f t="shared" si="16"/>
        <v>101</v>
      </c>
      <c r="I49" s="37">
        <f t="shared" si="16"/>
        <v>106</v>
      </c>
      <c r="J49" s="37">
        <f t="shared" si="16"/>
        <v>400800</v>
      </c>
      <c r="K49" s="37">
        <f t="shared" si="16"/>
        <v>44800</v>
      </c>
      <c r="L49" s="37">
        <f t="shared" si="16"/>
        <v>0</v>
      </c>
      <c r="M49" s="219">
        <f t="shared" si="16"/>
        <v>445600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40</v>
      </c>
      <c r="H58" s="170">
        <f>H59</f>
        <v>40</v>
      </c>
      <c r="I58" s="170">
        <f>I59</f>
        <v>42</v>
      </c>
      <c r="J58" s="170">
        <f>J59</f>
        <v>234780</v>
      </c>
      <c r="K58" s="170">
        <f>K59</f>
        <v>128000</v>
      </c>
      <c r="L58" s="81">
        <f>L59+L63</f>
        <v>1</v>
      </c>
      <c r="M58" s="217">
        <f>M59</f>
        <v>362780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40</v>
      </c>
      <c r="H59" s="31">
        <f>G59</f>
        <v>40</v>
      </c>
      <c r="I59" s="31">
        <f>H59+E59*2</f>
        <v>42</v>
      </c>
      <c r="J59" s="79">
        <f>5590*I59</f>
        <v>234780</v>
      </c>
      <c r="K59" s="31">
        <f>3200*H59</f>
        <v>128000</v>
      </c>
      <c r="L59" s="49"/>
      <c r="M59" s="80">
        <f>J59+K59</f>
        <v>362780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35</v>
      </c>
      <c r="D64" s="42">
        <f>D8+D13+D20+D22+D24+D26+D28+D31+D33+D37+D39+D44+D47+D49+D52+D54+D56+D58</f>
        <v>202</v>
      </c>
      <c r="E64" s="42">
        <f>E8+E13+E20+E22+E24+E26+E28+E31+E33+E37+E39+E44+E47+E49+E52+E54+E56+E58+E60</f>
        <v>237</v>
      </c>
      <c r="F64" s="42">
        <f>F8+F13+F28+F33+F60</f>
        <v>618</v>
      </c>
      <c r="G64" s="42">
        <f>G8+G13+G20+G22+G24+G26+G28+G31+G33+G37+G39+G44+G47+G49+G52+G54+G56+G58</f>
        <v>3589</v>
      </c>
      <c r="H64" s="42">
        <f>H8+H13+H20+H22+H24+H26+H28+H31+H33+H37+H39+H44+H47+H49+H52+H54+H56+H58+H60</f>
        <v>4207</v>
      </c>
      <c r="I64" s="42">
        <f>I8+I13+I20+I22+I24+I26+I28+I31+I33+I37+I39+I44+I47+I49+I52+I54+I56+I58+I60</f>
        <v>4457</v>
      </c>
      <c r="J64" s="42">
        <f>J8+J13+J20+J22+J24+J26+J28+J31+J33+J37+J39+J44+J47+J49+J52+J54+J56+J58</f>
        <v>15070640</v>
      </c>
      <c r="K64" s="42">
        <f>K8+K13+K20+K22+K24+K26+K28+K31+K33+K37+K39+K44+K47+K49+K52+K54+K56+K58</f>
        <v>2884400</v>
      </c>
      <c r="L64" s="50"/>
      <c r="M64" s="42">
        <f>M8+M13+M20+M22+M24+M26+M28+M31+M33+M37+M39+M44+M47+M49+M52+M54+M56+M58+M60+M65+M66</f>
        <v>18058240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4</v>
      </c>
      <c r="M66" s="150">
        <f>15000*L66</f>
        <v>60000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/>
      <c r="G67" s="145">
        <v>14</v>
      </c>
      <c r="H67" s="119"/>
      <c r="K67" s="97" t="s">
        <v>32</v>
      </c>
      <c r="L67" s="234">
        <f>L65+L66</f>
        <v>4</v>
      </c>
    </row>
    <row r="68" spans="2:13" ht="13.5" thickBot="1">
      <c r="B68" s="120" t="s">
        <v>75</v>
      </c>
      <c r="C68" s="131">
        <f t="shared" ref="C68:C74" si="20">F68+G68</f>
        <v>14</v>
      </c>
      <c r="D68" s="342">
        <f>C68*30000</f>
        <v>420000</v>
      </c>
      <c r="E68" s="343"/>
      <c r="F68" s="122">
        <v>8</v>
      </c>
      <c r="G68" s="139">
        <v>6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6</v>
      </c>
      <c r="D69" s="329">
        <f>C69*35000</f>
        <v>210000</v>
      </c>
      <c r="E69" s="330"/>
      <c r="F69" s="121">
        <v>4</v>
      </c>
      <c r="G69" s="138">
        <v>2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15</v>
      </c>
      <c r="D70" s="329">
        <f>C70*20000</f>
        <v>300000</v>
      </c>
      <c r="E70" s="330"/>
      <c r="F70" s="121">
        <v>10</v>
      </c>
      <c r="G70" s="138">
        <v>5</v>
      </c>
      <c r="H70" s="135"/>
      <c r="I70" s="97"/>
      <c r="K70" s="109" t="s">
        <v>132</v>
      </c>
      <c r="L70" s="163">
        <f>C77</f>
        <v>41.5</v>
      </c>
      <c r="M70" s="110">
        <f>D77</f>
        <v>1280000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100</v>
      </c>
      <c r="M71" s="112">
        <f>D78+D79</f>
        <v>1165000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45</v>
      </c>
      <c r="M72" s="114">
        <f>L72*20000</f>
        <v>900000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49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41.5</v>
      </c>
      <c r="D77" s="344">
        <f>SUM(D67:E76)</f>
        <v>1280000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39</v>
      </c>
      <c r="D78" s="346">
        <v>424000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61</v>
      </c>
      <c r="D79" s="348">
        <v>741000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80"/>
  <sheetViews>
    <sheetView topLeftCell="A61" workbookViewId="0">
      <selection activeCell="I22" sqref="I22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3</v>
      </c>
      <c r="E8" s="34">
        <f>SUM(E9:E12)</f>
        <v>4</v>
      </c>
      <c r="F8" s="34">
        <f>F9</f>
        <v>24</v>
      </c>
      <c r="G8" s="34">
        <f>G10+G11+G12</f>
        <v>84</v>
      </c>
      <c r="H8" s="35">
        <f>SUM(H9:H12)</f>
        <v>108</v>
      </c>
      <c r="I8" s="35">
        <f>SUM(I9:I12)</f>
        <v>113</v>
      </c>
      <c r="J8" s="35">
        <f>SUM(J9:J12)</f>
        <v>388800</v>
      </c>
      <c r="K8" s="35">
        <f>SUM(K9:K12)</f>
        <v>121600</v>
      </c>
      <c r="L8" s="34">
        <f>L9+L10+L11+L12</f>
        <v>0</v>
      </c>
      <c r="M8" s="35">
        <f>SUM(M9:M12)</f>
        <v>510400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2</v>
      </c>
      <c r="E10" s="235">
        <f>D10</f>
        <v>2</v>
      </c>
      <c r="F10" s="235"/>
      <c r="G10" s="235">
        <v>52</v>
      </c>
      <c r="H10" s="30">
        <f>G10</f>
        <v>52</v>
      </c>
      <c r="I10" s="30">
        <f>H10+E10</f>
        <v>54</v>
      </c>
      <c r="J10" s="30">
        <f>3200*I10</f>
        <v>172800</v>
      </c>
      <c r="K10" s="30">
        <f t="shared" ref="K10:K19" si="0">1600*H10</f>
        <v>83200</v>
      </c>
      <c r="L10" s="46"/>
      <c r="M10" s="43">
        <f>J10+K10</f>
        <v>256000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29</v>
      </c>
      <c r="D13" s="37">
        <f>D15+D16+D17+D18+D19</f>
        <v>31</v>
      </c>
      <c r="E13" s="37">
        <f>SUM(E14:E19)</f>
        <v>60</v>
      </c>
      <c r="F13" s="37">
        <f>F14</f>
        <v>435</v>
      </c>
      <c r="G13" s="37">
        <f>G15+G16+G17+G18+G19</f>
        <v>465</v>
      </c>
      <c r="H13" s="37">
        <f>SUM(H14:H19)</f>
        <v>900</v>
      </c>
      <c r="I13" s="37">
        <f>SUM(I14:I19)</f>
        <v>960</v>
      </c>
      <c r="J13" s="37">
        <f>SUM(J14:J19)</f>
        <v>3072000</v>
      </c>
      <c r="K13" s="37">
        <f>SUM(K14:K19)</f>
        <v>1440000</v>
      </c>
      <c r="L13" s="47">
        <f>L14+L15+L16+L17+L18+L19</f>
        <v>0</v>
      </c>
      <c r="M13" s="38">
        <f>SUM(M14:M19)</f>
        <v>4512000</v>
      </c>
    </row>
    <row r="14" spans="1:13">
      <c r="A14" s="12"/>
      <c r="B14" s="1" t="s">
        <v>3</v>
      </c>
      <c r="C14" s="235">
        <v>29</v>
      </c>
      <c r="D14" s="235"/>
      <c r="E14" s="235">
        <f>C14</f>
        <v>29</v>
      </c>
      <c r="F14" s="235">
        <f>C14*15</f>
        <v>435</v>
      </c>
      <c r="G14" s="235"/>
      <c r="H14" s="30">
        <f>F14</f>
        <v>435</v>
      </c>
      <c r="I14" s="30">
        <f t="shared" ref="I14:I19" si="1">H14+E14</f>
        <v>464</v>
      </c>
      <c r="J14" s="30">
        <f t="shared" ref="J14:J19" si="2">3200*I14</f>
        <v>1484800</v>
      </c>
      <c r="K14" s="30">
        <f t="shared" si="0"/>
        <v>696000</v>
      </c>
      <c r="L14" s="46"/>
      <c r="M14" s="43">
        <f t="shared" ref="M14:M19" si="3">J14+K14</f>
        <v>2180800</v>
      </c>
    </row>
    <row r="15" spans="1:13">
      <c r="A15" s="12"/>
      <c r="B15" s="1" t="s">
        <v>6</v>
      </c>
      <c r="C15" s="235"/>
      <c r="D15" s="235">
        <v>9</v>
      </c>
      <c r="E15" s="235">
        <f>D15</f>
        <v>9</v>
      </c>
      <c r="F15" s="235"/>
      <c r="G15" s="235">
        <f>D15*15</f>
        <v>135</v>
      </c>
      <c r="H15" s="30">
        <f>G15</f>
        <v>135</v>
      </c>
      <c r="I15" s="30">
        <f t="shared" si="1"/>
        <v>144</v>
      </c>
      <c r="J15" s="30">
        <f t="shared" si="2"/>
        <v>460800</v>
      </c>
      <c r="K15" s="30">
        <f t="shared" si="0"/>
        <v>216000</v>
      </c>
      <c r="L15" s="46"/>
      <c r="M15" s="43">
        <f t="shared" si="3"/>
        <v>676800</v>
      </c>
    </row>
    <row r="16" spans="1:13">
      <c r="A16" s="12"/>
      <c r="B16" s="1" t="s">
        <v>5</v>
      </c>
      <c r="C16" s="235"/>
      <c r="D16" s="235">
        <v>18</v>
      </c>
      <c r="E16" s="235">
        <f>D16</f>
        <v>18</v>
      </c>
      <c r="F16" s="235"/>
      <c r="G16" s="235">
        <f>D16*15</f>
        <v>270</v>
      </c>
      <c r="H16" s="30">
        <f>G16</f>
        <v>270</v>
      </c>
      <c r="I16" s="30">
        <f t="shared" si="1"/>
        <v>288</v>
      </c>
      <c r="J16" s="30">
        <f t="shared" si="2"/>
        <v>921600</v>
      </c>
      <c r="K16" s="30">
        <f t="shared" si="0"/>
        <v>432000</v>
      </c>
      <c r="L16" s="46"/>
      <c r="M16" s="43">
        <f t="shared" si="3"/>
        <v>1353600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2</v>
      </c>
      <c r="E19" s="235">
        <f>D19</f>
        <v>2</v>
      </c>
      <c r="F19" s="235"/>
      <c r="G19" s="235">
        <f>D19*15</f>
        <v>30</v>
      </c>
      <c r="H19" s="30">
        <f>G19</f>
        <v>30</v>
      </c>
      <c r="I19" s="30">
        <f t="shared" si="1"/>
        <v>32</v>
      </c>
      <c r="J19" s="30">
        <f t="shared" si="2"/>
        <v>102400</v>
      </c>
      <c r="K19" s="30">
        <f t="shared" si="0"/>
        <v>48000</v>
      </c>
      <c r="L19" s="46"/>
      <c r="M19" s="43">
        <f t="shared" si="3"/>
        <v>150400</v>
      </c>
    </row>
    <row r="20" spans="1:13">
      <c r="A20" s="36">
        <v>3</v>
      </c>
      <c r="B20" s="33" t="s">
        <v>22</v>
      </c>
      <c r="C20" s="37"/>
      <c r="D20" s="37">
        <f>D21</f>
        <v>86</v>
      </c>
      <c r="E20" s="37">
        <f>E21</f>
        <v>86</v>
      </c>
      <c r="F20" s="37"/>
      <c r="G20" s="37">
        <f t="shared" ref="G20:M20" si="4">G21</f>
        <v>1492</v>
      </c>
      <c r="H20" s="37">
        <f t="shared" si="4"/>
        <v>1492</v>
      </c>
      <c r="I20" s="37">
        <f t="shared" si="4"/>
        <v>1585</v>
      </c>
      <c r="J20" s="37">
        <f t="shared" si="4"/>
        <v>5072000</v>
      </c>
      <c r="K20" s="37">
        <f t="shared" si="4"/>
        <v>0</v>
      </c>
      <c r="L20" s="47">
        <f t="shared" si="4"/>
        <v>0</v>
      </c>
      <c r="M20" s="38">
        <f t="shared" si="4"/>
        <v>5072000</v>
      </c>
    </row>
    <row r="21" spans="1:13">
      <c r="A21" s="10"/>
      <c r="B21" s="24" t="s">
        <v>19</v>
      </c>
      <c r="C21" s="235"/>
      <c r="D21" s="235">
        <v>86</v>
      </c>
      <c r="E21" s="235">
        <f>D21</f>
        <v>86</v>
      </c>
      <c r="F21" s="235"/>
      <c r="G21" s="235">
        <v>1492</v>
      </c>
      <c r="H21" s="30">
        <f>G20</f>
        <v>1492</v>
      </c>
      <c r="I21" s="30">
        <v>1585</v>
      </c>
      <c r="J21" s="30">
        <f>3200*I21</f>
        <v>5072000</v>
      </c>
      <c r="K21" s="30"/>
      <c r="L21" s="46"/>
      <c r="M21" s="43">
        <f>J21+K21</f>
        <v>5072000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6</v>
      </c>
      <c r="E28" s="37">
        <f>E29+E30</f>
        <v>10</v>
      </c>
      <c r="F28" s="37">
        <f>F29</f>
        <v>96</v>
      </c>
      <c r="G28" s="37">
        <f>G30</f>
        <v>143</v>
      </c>
      <c r="H28" s="38">
        <f t="shared" ref="H28:M28" si="8">H29+H30</f>
        <v>239</v>
      </c>
      <c r="I28" s="38">
        <f t="shared" si="8"/>
        <v>249</v>
      </c>
      <c r="J28" s="38">
        <f t="shared" si="8"/>
        <v>796800</v>
      </c>
      <c r="K28" s="38">
        <f t="shared" si="8"/>
        <v>382400</v>
      </c>
      <c r="L28" s="48">
        <f t="shared" si="8"/>
        <v>0</v>
      </c>
      <c r="M28" s="216">
        <f t="shared" si="8"/>
        <v>1222400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96</v>
      </c>
      <c r="G29" s="235"/>
      <c r="H29" s="30">
        <f>F29</f>
        <v>96</v>
      </c>
      <c r="I29" s="30">
        <f>H29+E29</f>
        <v>100</v>
      </c>
      <c r="J29" s="30">
        <f>3200*I29</f>
        <v>320000</v>
      </c>
      <c r="K29" s="30">
        <f>1600*H29</f>
        <v>153600</v>
      </c>
      <c r="L29" s="46"/>
      <c r="M29" s="43">
        <f>J29+K29</f>
        <v>473600</v>
      </c>
    </row>
    <row r="30" spans="1:13">
      <c r="A30" s="12"/>
      <c r="B30" s="1" t="s">
        <v>11</v>
      </c>
      <c r="C30" s="235"/>
      <c r="D30" s="235">
        <v>6</v>
      </c>
      <c r="E30" s="235">
        <f>D30</f>
        <v>6</v>
      </c>
      <c r="F30" s="235"/>
      <c r="G30" s="30">
        <v>143</v>
      </c>
      <c r="H30" s="30">
        <f>G30</f>
        <v>143</v>
      </c>
      <c r="I30" s="30">
        <f>H30+E30</f>
        <v>149</v>
      </c>
      <c r="J30" s="30">
        <f>3200*I30</f>
        <v>476800</v>
      </c>
      <c r="K30" s="30">
        <f>1600*H30</f>
        <v>228800</v>
      </c>
      <c r="L30" s="46"/>
      <c r="M30" s="43">
        <f>J30+K30+M62</f>
        <v>748800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26</v>
      </c>
      <c r="E31" s="37">
        <f t="shared" si="9"/>
        <v>26</v>
      </c>
      <c r="F31" s="37">
        <f t="shared" si="9"/>
        <v>0</v>
      </c>
      <c r="G31" s="37">
        <f t="shared" si="9"/>
        <v>390</v>
      </c>
      <c r="H31" s="37">
        <f t="shared" si="9"/>
        <v>390</v>
      </c>
      <c r="I31" s="37">
        <f t="shared" si="9"/>
        <v>416</v>
      </c>
      <c r="J31" s="37">
        <f t="shared" si="9"/>
        <v>1331200</v>
      </c>
      <c r="K31" s="37">
        <f t="shared" si="9"/>
        <v>0</v>
      </c>
      <c r="L31" s="37">
        <f t="shared" si="9"/>
        <v>0</v>
      </c>
      <c r="M31" s="38">
        <f t="shared" si="9"/>
        <v>1331200</v>
      </c>
    </row>
    <row r="32" spans="1:13">
      <c r="A32" s="10"/>
      <c r="B32" s="24" t="s">
        <v>19</v>
      </c>
      <c r="C32" s="235"/>
      <c r="D32" s="235">
        <v>26</v>
      </c>
      <c r="E32" s="235">
        <f>D32</f>
        <v>26</v>
      </c>
      <c r="F32" s="235"/>
      <c r="G32" s="235">
        <f>E32*15</f>
        <v>390</v>
      </c>
      <c r="H32" s="30">
        <f>G32</f>
        <v>390</v>
      </c>
      <c r="I32" s="30">
        <f>H32+E32</f>
        <v>416</v>
      </c>
      <c r="J32" s="30">
        <f>3200*I32</f>
        <v>1331200</v>
      </c>
      <c r="K32" s="30"/>
      <c r="L32" s="46"/>
      <c r="M32" s="43">
        <f>J32+K32</f>
        <v>1331200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11</v>
      </c>
      <c r="E33" s="37">
        <f>E34+E35+E36</f>
        <v>17</v>
      </c>
      <c r="F33" s="37">
        <f>F34</f>
        <v>149</v>
      </c>
      <c r="G33" s="37">
        <f>G35+G36</f>
        <v>283</v>
      </c>
      <c r="H33" s="38">
        <f t="shared" ref="H33:M33" si="10">H34+H35+H36</f>
        <v>432</v>
      </c>
      <c r="I33" s="38">
        <f t="shared" si="10"/>
        <v>450</v>
      </c>
      <c r="J33" s="35">
        <f t="shared" si="10"/>
        <v>1514400</v>
      </c>
      <c r="K33" s="35">
        <f t="shared" si="10"/>
        <v>548800</v>
      </c>
      <c r="L33" s="47">
        <f t="shared" si="10"/>
        <v>0</v>
      </c>
      <c r="M33" s="216">
        <f t="shared" si="10"/>
        <v>2149600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149</v>
      </c>
      <c r="G34" s="235"/>
      <c r="H34" s="30">
        <f>F34</f>
        <v>149</v>
      </c>
      <c r="I34" s="30">
        <f>H34+E34</f>
        <v>155</v>
      </c>
      <c r="J34" s="30">
        <f>3200*I34</f>
        <v>496000</v>
      </c>
      <c r="K34" s="30">
        <f>1600*H34</f>
        <v>238400</v>
      </c>
      <c r="L34" s="46"/>
      <c r="M34" s="43">
        <f>J34+K34</f>
        <v>734400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194</v>
      </c>
      <c r="H35" s="30">
        <f>G35</f>
        <v>194</v>
      </c>
      <c r="I35" s="30">
        <f>H35+E35</f>
        <v>202</v>
      </c>
      <c r="J35" s="30">
        <f>3200*I35</f>
        <v>646400</v>
      </c>
      <c r="K35" s="30">
        <f>1600*H35</f>
        <v>310400</v>
      </c>
      <c r="L35" s="46"/>
      <c r="M35" s="43">
        <f>J35+K35+M63</f>
        <v>1043200</v>
      </c>
    </row>
    <row r="36" spans="1:13">
      <c r="A36" s="13"/>
      <c r="B36" s="96" t="s">
        <v>128</v>
      </c>
      <c r="C36" s="235"/>
      <c r="D36" s="235">
        <v>3</v>
      </c>
      <c r="E36" s="235">
        <f>D36</f>
        <v>3</v>
      </c>
      <c r="F36" s="235"/>
      <c r="G36" s="235">
        <v>89</v>
      </c>
      <c r="H36" s="30">
        <f>G36</f>
        <v>89</v>
      </c>
      <c r="I36" s="30">
        <v>93</v>
      </c>
      <c r="J36" s="30">
        <f>4000*I36</f>
        <v>372000</v>
      </c>
      <c r="K36" s="30"/>
      <c r="L36" s="46"/>
      <c r="M36" s="43">
        <f>J36+K36</f>
        <v>372000</v>
      </c>
    </row>
    <row r="37" spans="1:13">
      <c r="A37" s="36">
        <v>10</v>
      </c>
      <c r="B37" s="33" t="s">
        <v>28</v>
      </c>
      <c r="C37" s="37"/>
      <c r="D37" s="37">
        <f>D38</f>
        <v>23</v>
      </c>
      <c r="E37" s="37">
        <f>E38</f>
        <v>23</v>
      </c>
      <c r="F37" s="37"/>
      <c r="G37" s="37">
        <f t="shared" ref="G37:M37" si="11">G38</f>
        <v>358</v>
      </c>
      <c r="H37" s="38">
        <f t="shared" si="11"/>
        <v>358</v>
      </c>
      <c r="I37" s="38">
        <f t="shared" si="11"/>
        <v>381</v>
      </c>
      <c r="J37" s="38">
        <f t="shared" si="11"/>
        <v>1524000</v>
      </c>
      <c r="K37" s="38">
        <f t="shared" si="11"/>
        <v>0</v>
      </c>
      <c r="L37" s="48">
        <f t="shared" si="11"/>
        <v>0</v>
      </c>
      <c r="M37" s="216">
        <f t="shared" si="11"/>
        <v>1524000</v>
      </c>
    </row>
    <row r="38" spans="1:13">
      <c r="A38" s="13"/>
      <c r="B38" s="96" t="s">
        <v>128</v>
      </c>
      <c r="C38" s="235"/>
      <c r="D38" s="235">
        <v>23</v>
      </c>
      <c r="E38" s="235">
        <f>D38</f>
        <v>23</v>
      </c>
      <c r="F38" s="235"/>
      <c r="G38" s="235">
        <v>358</v>
      </c>
      <c r="H38" s="30">
        <f>G38</f>
        <v>358</v>
      </c>
      <c r="I38" s="30">
        <f>H38+E38</f>
        <v>381</v>
      </c>
      <c r="J38" s="30">
        <f>4000*I38</f>
        <v>1524000</v>
      </c>
      <c r="K38" s="30"/>
      <c r="L38" s="46"/>
      <c r="M38" s="43">
        <f>J38+K38</f>
        <v>1524000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38</v>
      </c>
      <c r="H39" s="38">
        <f t="shared" si="12"/>
        <v>38</v>
      </c>
      <c r="I39" s="38">
        <f t="shared" si="12"/>
        <v>40</v>
      </c>
      <c r="J39" s="45">
        <f t="shared" si="12"/>
        <v>223600</v>
      </c>
      <c r="K39" s="45">
        <f t="shared" si="12"/>
        <v>121600</v>
      </c>
      <c r="L39" s="47">
        <f t="shared" si="12"/>
        <v>0</v>
      </c>
      <c r="M39" s="216">
        <f t="shared" si="12"/>
        <v>345200</v>
      </c>
    </row>
    <row r="40" spans="1:13">
      <c r="A40" s="9"/>
      <c r="B40" s="24" t="s">
        <v>13</v>
      </c>
      <c r="C40" s="235"/>
      <c r="D40" s="235"/>
      <c r="E40" s="235">
        <f>D40</f>
        <v>0</v>
      </c>
      <c r="F40" s="235"/>
      <c r="G40" s="235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>
        <v>1</v>
      </c>
      <c r="E43" s="235">
        <f>D43</f>
        <v>1</v>
      </c>
      <c r="F43" s="235"/>
      <c r="G43" s="235">
        <f>E43*38</f>
        <v>38</v>
      </c>
      <c r="H43" s="30">
        <f>G43</f>
        <v>38</v>
      </c>
      <c r="I43" s="30">
        <f>H43+E43*2</f>
        <v>40</v>
      </c>
      <c r="J43" s="30">
        <f>5590*I43</f>
        <v>223600</v>
      </c>
      <c r="K43" s="30">
        <f>3200*H43</f>
        <v>121600</v>
      </c>
      <c r="L43" s="46"/>
      <c r="M43" s="43">
        <f>J43+K43</f>
        <v>345200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88</v>
      </c>
      <c r="H49" s="37">
        <f t="shared" si="16"/>
        <v>88</v>
      </c>
      <c r="I49" s="37">
        <f t="shared" si="16"/>
        <v>93</v>
      </c>
      <c r="J49" s="37">
        <f t="shared" si="16"/>
        <v>359200</v>
      </c>
      <c r="K49" s="37">
        <f t="shared" si="16"/>
        <v>24000</v>
      </c>
      <c r="L49" s="37">
        <f t="shared" si="16"/>
        <v>0</v>
      </c>
      <c r="M49" s="219">
        <f t="shared" si="16"/>
        <v>383200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0</v>
      </c>
      <c r="E58" s="81">
        <f>E59</f>
        <v>0</v>
      </c>
      <c r="F58" s="81"/>
      <c r="G58" s="81">
        <f>G59</f>
        <v>0</v>
      </c>
      <c r="H58" s="170">
        <f>H59</f>
        <v>0</v>
      </c>
      <c r="I58" s="170">
        <f>I59</f>
        <v>0</v>
      </c>
      <c r="J58" s="170">
        <f>J59</f>
        <v>0</v>
      </c>
      <c r="K58" s="170">
        <f>K59</f>
        <v>0</v>
      </c>
      <c r="L58" s="81">
        <f>L59+L63</f>
        <v>2</v>
      </c>
      <c r="M58" s="217">
        <f>M59</f>
        <v>0</v>
      </c>
    </row>
    <row r="59" spans="1:13">
      <c r="A59" s="14"/>
      <c r="B59" s="236" t="s">
        <v>234</v>
      </c>
      <c r="C59" s="29"/>
      <c r="D59" s="29">
        <v>0</v>
      </c>
      <c r="E59" s="29">
        <f>D58</f>
        <v>0</v>
      </c>
      <c r="F59" s="29"/>
      <c r="G59" s="29">
        <v>0</v>
      </c>
      <c r="H59" s="31">
        <f>G59</f>
        <v>0</v>
      </c>
      <c r="I59" s="31">
        <f>H59+E59*2</f>
        <v>0</v>
      </c>
      <c r="J59" s="79">
        <f>4300*I59</f>
        <v>0</v>
      </c>
      <c r="K59" s="31">
        <f>2500*H59</f>
        <v>0</v>
      </c>
      <c r="L59" s="49"/>
      <c r="M59" s="80">
        <f>J59+K59</f>
        <v>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2</v>
      </c>
      <c r="M63" s="57">
        <f>43200*L63</f>
        <v>86400</v>
      </c>
    </row>
    <row r="64" spans="1:13" ht="13.5" thickBot="1">
      <c r="A64" s="51"/>
      <c r="B64" s="42" t="s">
        <v>54</v>
      </c>
      <c r="C64" s="42">
        <f>C8+C13+C28+C33+C60</f>
        <v>40</v>
      </c>
      <c r="D64" s="42">
        <f>D8+D13+D20+D22+D24+D26+D28+D31+D33+D37+D39+D44+D47+D49+D52+D54+D56+D58</f>
        <v>198</v>
      </c>
      <c r="E64" s="42">
        <f>E8+E13+E20+E22+E24+E26+E28+E31+E33+E37+E39+E44+E47+E49+E52+E54+E56+E58+E60</f>
        <v>238</v>
      </c>
      <c r="F64" s="42">
        <f>F8+F13+F28+F33+F60</f>
        <v>704</v>
      </c>
      <c r="G64" s="42">
        <f>G8+G13+G20+G22+G24+G26+G28+G31+G33+G37+G39+G44+G47+G49+G52+G54+G56+G58</f>
        <v>3531</v>
      </c>
      <c r="H64" s="42">
        <f>H8+H13+H20+H22+H24+H26+H28+H31+H33+H37+H39+H44+H47+H49+H52+H54+H56+H58+H60</f>
        <v>4235</v>
      </c>
      <c r="I64" s="42">
        <f>I8+I13+I20+I22+I24+I26+I28+I31+I33+I37+I39+I44+I47+I49+I52+I54+I56+I58+I60</f>
        <v>4486</v>
      </c>
      <c r="J64" s="42">
        <f>J8+J13+J20+J22+J24+J26+J28+J31+J33+J37+J39+J44+J47+J49+J52+J54+J56+J58</f>
        <v>15151460</v>
      </c>
      <c r="K64" s="42">
        <f>K8+K13+K20+K22+K24+K26+K28+K31+K33+K37+K39+K44+K47+K49+K52+K54+K56+K58</f>
        <v>2959600</v>
      </c>
      <c r="L64" s="50"/>
      <c r="M64" s="42">
        <f>M8+M13+M20+M22+M24+M26+M28+M31+M33+M37+M39+M44+M47+M49+M52+M54+M56+M58+M60+M65+M66</f>
        <v>18320660</v>
      </c>
    </row>
    <row r="65" spans="2:13" ht="14.25" thickTop="1" thickBot="1">
      <c r="D65" s="337"/>
      <c r="E65" s="337"/>
      <c r="J65" s="115"/>
      <c r="K65" s="149" t="s">
        <v>96</v>
      </c>
      <c r="L65" s="147">
        <v>1</v>
      </c>
      <c r="M65" s="149">
        <f>20000*L65</f>
        <v>20000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4</v>
      </c>
      <c r="M66" s="150">
        <f>15000*L66</f>
        <v>60000</v>
      </c>
    </row>
    <row r="67" spans="2:13">
      <c r="B67" s="144" t="s">
        <v>74</v>
      </c>
      <c r="C67" s="131">
        <f>F67+G67</f>
        <v>15</v>
      </c>
      <c r="D67" s="340">
        <f>C67*25000</f>
        <v>375000</v>
      </c>
      <c r="E67" s="341"/>
      <c r="F67" s="131"/>
      <c r="G67" s="145">
        <v>15</v>
      </c>
      <c r="H67" s="119"/>
      <c r="K67" s="97" t="s">
        <v>32</v>
      </c>
      <c r="L67" s="234">
        <f>L65+L66</f>
        <v>5</v>
      </c>
    </row>
    <row r="68" spans="2:13" ht="13.5" thickBot="1">
      <c r="B68" s="120" t="s">
        <v>75</v>
      </c>
      <c r="C68" s="131">
        <f t="shared" ref="C68:C74" si="20">F68+G68</f>
        <v>9</v>
      </c>
      <c r="D68" s="342">
        <f>C68*30000</f>
        <v>270000</v>
      </c>
      <c r="E68" s="343"/>
      <c r="F68" s="122">
        <v>6</v>
      </c>
      <c r="G68" s="139">
        <v>3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8</v>
      </c>
      <c r="D69" s="329">
        <f>C69*35000</f>
        <v>280000</v>
      </c>
      <c r="E69" s="330"/>
      <c r="F69" s="121">
        <v>8</v>
      </c>
      <c r="G69" s="138"/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9</v>
      </c>
      <c r="D70" s="329">
        <f>C70*20000</f>
        <v>180000</v>
      </c>
      <c r="E70" s="330"/>
      <c r="F70" s="121">
        <v>7</v>
      </c>
      <c r="G70" s="138">
        <v>2</v>
      </c>
      <c r="H70" s="135"/>
      <c r="I70" s="97"/>
      <c r="K70" s="109" t="s">
        <v>132</v>
      </c>
      <c r="L70" s="163">
        <f>C77</f>
        <v>36.5</v>
      </c>
      <c r="M70" s="110">
        <f>D77</f>
        <v>1105000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72</v>
      </c>
      <c r="M71" s="112">
        <f>D78+D79</f>
        <v>719000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51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36.5</v>
      </c>
      <c r="D77" s="344">
        <f>SUM(D67:E76)</f>
        <v>1105000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24</v>
      </c>
      <c r="D78" s="346">
        <v>226000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48</v>
      </c>
      <c r="D79" s="348">
        <v>493000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J60" sqref="J6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3</v>
      </c>
      <c r="E8" s="34">
        <f>SUM(E9:E12)</f>
        <v>4</v>
      </c>
      <c r="F8" s="34">
        <f>F9</f>
        <v>24</v>
      </c>
      <c r="G8" s="34">
        <f>G10+G11+G12</f>
        <v>87</v>
      </c>
      <c r="H8" s="35">
        <f>SUM(H9:H12)</f>
        <v>111</v>
      </c>
      <c r="I8" s="35">
        <f>SUM(I9:I12)</f>
        <v>116</v>
      </c>
      <c r="J8" s="35">
        <f>SUM(J9:J12)</f>
        <v>398400</v>
      </c>
      <c r="K8" s="35">
        <f>SUM(K9:K12)</f>
        <v>126400</v>
      </c>
      <c r="L8" s="34">
        <f>L9+L10+L11+L12</f>
        <v>0</v>
      </c>
      <c r="M8" s="35">
        <f>SUM(M9:M12)</f>
        <v>524800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2</v>
      </c>
      <c r="E10" s="235">
        <f>D10</f>
        <v>2</v>
      </c>
      <c r="F10" s="235"/>
      <c r="G10" s="235">
        <v>55</v>
      </c>
      <c r="H10" s="30">
        <f>G10</f>
        <v>55</v>
      </c>
      <c r="I10" s="30">
        <f>H10+E10</f>
        <v>57</v>
      </c>
      <c r="J10" s="30">
        <f>3200*I10</f>
        <v>182400</v>
      </c>
      <c r="K10" s="30">
        <f t="shared" ref="K10:K19" si="0">1600*H10</f>
        <v>88000</v>
      </c>
      <c r="L10" s="46"/>
      <c r="M10" s="43">
        <f>J10+K10</f>
        <v>270400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27</v>
      </c>
      <c r="D13" s="37">
        <f>D15+D16+D17+D18+D19</f>
        <v>32</v>
      </c>
      <c r="E13" s="37">
        <f>SUM(E14:E19)</f>
        <v>59</v>
      </c>
      <c r="F13" s="37">
        <f>F14</f>
        <v>405</v>
      </c>
      <c r="G13" s="37">
        <f>G15+G16+G17+G18+G19</f>
        <v>480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7">
        <f>L14+L15+L16+L17+L18+L19</f>
        <v>0</v>
      </c>
      <c r="M13" s="38">
        <f>SUM(M14:M19)</f>
        <v>4436800</v>
      </c>
    </row>
    <row r="14" spans="1:13">
      <c r="A14" s="12"/>
      <c r="B14" s="1" t="s">
        <v>3</v>
      </c>
      <c r="C14" s="235">
        <v>27</v>
      </c>
      <c r="D14" s="235"/>
      <c r="E14" s="235">
        <f>C14</f>
        <v>27</v>
      </c>
      <c r="F14" s="235">
        <f>C14*15</f>
        <v>405</v>
      </c>
      <c r="G14" s="235"/>
      <c r="H14" s="30">
        <f>F14</f>
        <v>405</v>
      </c>
      <c r="I14" s="30">
        <f t="shared" ref="I14:I19" si="1">H14+E14</f>
        <v>432</v>
      </c>
      <c r="J14" s="30">
        <f t="shared" ref="J14:J19" si="2">3200*I14</f>
        <v>1382400</v>
      </c>
      <c r="K14" s="30">
        <f t="shared" si="0"/>
        <v>648000</v>
      </c>
      <c r="L14" s="46"/>
      <c r="M14" s="43">
        <f t="shared" ref="M14:M19" si="3">J14+K14</f>
        <v>2030400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18</v>
      </c>
      <c r="E16" s="235">
        <f>D16</f>
        <v>18</v>
      </c>
      <c r="F16" s="235"/>
      <c r="G16" s="235">
        <f>D16*15</f>
        <v>270</v>
      </c>
      <c r="H16" s="30">
        <f>G16</f>
        <v>270</v>
      </c>
      <c r="I16" s="30">
        <f t="shared" si="1"/>
        <v>288</v>
      </c>
      <c r="J16" s="30">
        <f t="shared" si="2"/>
        <v>921600</v>
      </c>
      <c r="K16" s="30">
        <f t="shared" si="0"/>
        <v>432000</v>
      </c>
      <c r="L16" s="46"/>
      <c r="M16" s="43">
        <f t="shared" si="3"/>
        <v>1353600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110</v>
      </c>
      <c r="E20" s="37">
        <f>E21</f>
        <v>110</v>
      </c>
      <c r="F20" s="37"/>
      <c r="G20" s="37">
        <f t="shared" ref="G20:M20" si="4">G21</f>
        <v>1986</v>
      </c>
      <c r="H20" s="37">
        <f t="shared" si="4"/>
        <v>1986</v>
      </c>
      <c r="I20" s="37">
        <f t="shared" si="4"/>
        <v>2108</v>
      </c>
      <c r="J20" s="37">
        <f t="shared" si="4"/>
        <v>6745600</v>
      </c>
      <c r="K20" s="37">
        <f t="shared" si="4"/>
        <v>0</v>
      </c>
      <c r="L20" s="47">
        <f t="shared" si="4"/>
        <v>0</v>
      </c>
      <c r="M20" s="38">
        <f t="shared" si="4"/>
        <v>6745600</v>
      </c>
    </row>
    <row r="21" spans="1:13">
      <c r="A21" s="10"/>
      <c r="B21" s="24" t="s">
        <v>19</v>
      </c>
      <c r="C21" s="235"/>
      <c r="D21" s="235">
        <v>110</v>
      </c>
      <c r="E21" s="235">
        <f>D21</f>
        <v>110</v>
      </c>
      <c r="F21" s="235"/>
      <c r="G21" s="235">
        <v>1986</v>
      </c>
      <c r="H21" s="30">
        <f>G20</f>
        <v>1986</v>
      </c>
      <c r="I21" s="30">
        <v>2108</v>
      </c>
      <c r="J21" s="30">
        <f>3200*I21</f>
        <v>6745600</v>
      </c>
      <c r="K21" s="30"/>
      <c r="L21" s="46"/>
      <c r="M21" s="43">
        <f>J21+K21</f>
        <v>6745600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6</v>
      </c>
      <c r="E28" s="37">
        <f>E29+E30</f>
        <v>10</v>
      </c>
      <c r="F28" s="37">
        <f>F29</f>
        <v>96</v>
      </c>
      <c r="G28" s="37">
        <f>G30</f>
        <v>143</v>
      </c>
      <c r="H28" s="38">
        <f t="shared" ref="H28:M28" si="8">H29+H30</f>
        <v>239</v>
      </c>
      <c r="I28" s="38">
        <f t="shared" si="8"/>
        <v>249</v>
      </c>
      <c r="J28" s="38">
        <f t="shared" si="8"/>
        <v>796800</v>
      </c>
      <c r="K28" s="38">
        <f t="shared" si="8"/>
        <v>382400</v>
      </c>
      <c r="L28" s="48">
        <f t="shared" si="8"/>
        <v>0</v>
      </c>
      <c r="M28" s="216">
        <f t="shared" si="8"/>
        <v>1222400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96</v>
      </c>
      <c r="G29" s="235"/>
      <c r="H29" s="30">
        <f>F29</f>
        <v>96</v>
      </c>
      <c r="I29" s="30">
        <f>H29+E29</f>
        <v>100</v>
      </c>
      <c r="J29" s="30">
        <f>3200*I29</f>
        <v>320000</v>
      </c>
      <c r="K29" s="30">
        <f>1600*H29</f>
        <v>153600</v>
      </c>
      <c r="L29" s="46"/>
      <c r="M29" s="43">
        <f>J29+K29</f>
        <v>473600</v>
      </c>
    </row>
    <row r="30" spans="1:13">
      <c r="A30" s="12"/>
      <c r="B30" s="1" t="s">
        <v>11</v>
      </c>
      <c r="C30" s="235"/>
      <c r="D30" s="235">
        <v>6</v>
      </c>
      <c r="E30" s="235">
        <f>D30</f>
        <v>6</v>
      </c>
      <c r="F30" s="235"/>
      <c r="G30" s="30">
        <v>143</v>
      </c>
      <c r="H30" s="30">
        <f>G30</f>
        <v>143</v>
      </c>
      <c r="I30" s="30">
        <f>H30+E30</f>
        <v>149</v>
      </c>
      <c r="J30" s="30">
        <f>3200*I30</f>
        <v>476800</v>
      </c>
      <c r="K30" s="30">
        <f>1600*H30</f>
        <v>228800</v>
      </c>
      <c r="L30" s="46"/>
      <c r="M30" s="43">
        <f>J30+K30+M62</f>
        <v>748800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29</v>
      </c>
      <c r="E31" s="37">
        <f t="shared" si="9"/>
        <v>29</v>
      </c>
      <c r="F31" s="37">
        <f t="shared" si="9"/>
        <v>0</v>
      </c>
      <c r="G31" s="37">
        <f t="shared" si="9"/>
        <v>435</v>
      </c>
      <c r="H31" s="37">
        <f t="shared" si="9"/>
        <v>435</v>
      </c>
      <c r="I31" s="37">
        <f t="shared" si="9"/>
        <v>464</v>
      </c>
      <c r="J31" s="37">
        <f t="shared" si="9"/>
        <v>1484800</v>
      </c>
      <c r="K31" s="37">
        <f t="shared" si="9"/>
        <v>0</v>
      </c>
      <c r="L31" s="37">
        <f t="shared" si="9"/>
        <v>0</v>
      </c>
      <c r="M31" s="38">
        <f t="shared" si="9"/>
        <v>1484800</v>
      </c>
    </row>
    <row r="32" spans="1:13">
      <c r="A32" s="10"/>
      <c r="B32" s="24" t="s">
        <v>19</v>
      </c>
      <c r="C32" s="235"/>
      <c r="D32" s="235">
        <v>29</v>
      </c>
      <c r="E32" s="235">
        <f>D32</f>
        <v>29</v>
      </c>
      <c r="F32" s="235"/>
      <c r="G32" s="235">
        <f>E32*15</f>
        <v>435</v>
      </c>
      <c r="H32" s="30">
        <f>G32</f>
        <v>435</v>
      </c>
      <c r="I32" s="30">
        <f>H32+E32</f>
        <v>464</v>
      </c>
      <c r="J32" s="30">
        <f>3200*I32</f>
        <v>1484800</v>
      </c>
      <c r="K32" s="30"/>
      <c r="L32" s="46"/>
      <c r="M32" s="43">
        <f>J32+K32</f>
        <v>1484800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8</v>
      </c>
      <c r="E33" s="37">
        <f>E34+E35+E36</f>
        <v>14</v>
      </c>
      <c r="F33" s="37">
        <f>F34</f>
        <v>142</v>
      </c>
      <c r="G33" s="37">
        <f>G35+G36</f>
        <v>212</v>
      </c>
      <c r="H33" s="38">
        <f t="shared" ref="H33:M33" si="10">H34+H35+H36</f>
        <v>354</v>
      </c>
      <c r="I33" s="38">
        <f t="shared" si="10"/>
        <v>369</v>
      </c>
      <c r="J33" s="35">
        <f t="shared" si="10"/>
        <v>1208800</v>
      </c>
      <c r="K33" s="35">
        <f t="shared" si="10"/>
        <v>513600</v>
      </c>
      <c r="L33" s="47">
        <f t="shared" si="10"/>
        <v>0</v>
      </c>
      <c r="M33" s="216">
        <f t="shared" si="10"/>
        <v>1765600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142</v>
      </c>
      <c r="G34" s="235"/>
      <c r="H34" s="30">
        <f>F34</f>
        <v>142</v>
      </c>
      <c r="I34" s="30">
        <f>H34+E34</f>
        <v>148</v>
      </c>
      <c r="J34" s="30">
        <f>3200*I34</f>
        <v>473600</v>
      </c>
      <c r="K34" s="30">
        <f>1600*H34</f>
        <v>227200</v>
      </c>
      <c r="L34" s="46"/>
      <c r="M34" s="43">
        <f>J34+K34</f>
        <v>700800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179</v>
      </c>
      <c r="H35" s="30">
        <f>G35</f>
        <v>179</v>
      </c>
      <c r="I35" s="30">
        <f>H35+E35</f>
        <v>186</v>
      </c>
      <c r="J35" s="30">
        <f>3200*I35</f>
        <v>595200</v>
      </c>
      <c r="K35" s="30">
        <f>1600*H35</f>
        <v>286400</v>
      </c>
      <c r="L35" s="46"/>
      <c r="M35" s="43">
        <f>J35+K35+M63</f>
        <v>924800</v>
      </c>
    </row>
    <row r="36" spans="1:13">
      <c r="A36" s="13"/>
      <c r="B36" s="96" t="s">
        <v>128</v>
      </c>
      <c r="C36" s="235"/>
      <c r="D36" s="235">
        <v>1</v>
      </c>
      <c r="E36" s="235">
        <f>D36</f>
        <v>1</v>
      </c>
      <c r="F36" s="235"/>
      <c r="G36" s="235">
        <v>33</v>
      </c>
      <c r="H36" s="30">
        <f>G36</f>
        <v>33</v>
      </c>
      <c r="I36" s="30">
        <v>35</v>
      </c>
      <c r="J36" s="30">
        <f>4000*I36</f>
        <v>140000</v>
      </c>
      <c r="K36" s="30"/>
      <c r="L36" s="46"/>
      <c r="M36" s="43">
        <f>J36+K36</f>
        <v>140000</v>
      </c>
    </row>
    <row r="37" spans="1:13">
      <c r="A37" s="36">
        <v>10</v>
      </c>
      <c r="B37" s="33" t="s">
        <v>28</v>
      </c>
      <c r="C37" s="37"/>
      <c r="D37" s="37">
        <f>D38</f>
        <v>23</v>
      </c>
      <c r="E37" s="37">
        <f>E38</f>
        <v>23</v>
      </c>
      <c r="F37" s="37"/>
      <c r="G37" s="37">
        <f t="shared" ref="G37:M37" si="11">G38</f>
        <v>384</v>
      </c>
      <c r="H37" s="38">
        <f t="shared" si="11"/>
        <v>384</v>
      </c>
      <c r="I37" s="38">
        <f t="shared" si="11"/>
        <v>407</v>
      </c>
      <c r="J37" s="38">
        <f t="shared" si="11"/>
        <v>1628000</v>
      </c>
      <c r="K37" s="38">
        <f t="shared" si="11"/>
        <v>0</v>
      </c>
      <c r="L37" s="48">
        <f t="shared" si="11"/>
        <v>0</v>
      </c>
      <c r="M37" s="216">
        <f t="shared" si="11"/>
        <v>1628000</v>
      </c>
    </row>
    <row r="38" spans="1:13">
      <c r="A38" s="13"/>
      <c r="B38" s="96" t="s">
        <v>128</v>
      </c>
      <c r="C38" s="235"/>
      <c r="D38" s="235">
        <v>23</v>
      </c>
      <c r="E38" s="235">
        <f>D38</f>
        <v>23</v>
      </c>
      <c r="F38" s="235"/>
      <c r="G38" s="235">
        <v>384</v>
      </c>
      <c r="H38" s="30">
        <f>G38</f>
        <v>384</v>
      </c>
      <c r="I38" s="30">
        <f>H38+E38</f>
        <v>407</v>
      </c>
      <c r="J38" s="30">
        <f>4000*I38</f>
        <v>1628000</v>
      </c>
      <c r="K38" s="30"/>
      <c r="L38" s="46"/>
      <c r="M38" s="43">
        <f>J38+K38</f>
        <v>1628000</v>
      </c>
    </row>
    <row r="39" spans="1:13">
      <c r="A39" s="36">
        <v>11</v>
      </c>
      <c r="B39" s="33" t="s">
        <v>44</v>
      </c>
      <c r="C39" s="37"/>
      <c r="D39" s="37">
        <f>D40+D41+D42+D43</f>
        <v>0</v>
      </c>
      <c r="E39" s="37">
        <f>E40+E41+E42+E43</f>
        <v>0</v>
      </c>
      <c r="F39" s="37"/>
      <c r="G39" s="37">
        <f t="shared" ref="G39:M39" si="12">G40+G41+G42+G43</f>
        <v>0</v>
      </c>
      <c r="H39" s="38">
        <f t="shared" si="12"/>
        <v>0</v>
      </c>
      <c r="I39" s="38">
        <f t="shared" si="12"/>
        <v>0</v>
      </c>
      <c r="J39" s="45">
        <f t="shared" si="12"/>
        <v>0</v>
      </c>
      <c r="K39" s="45">
        <f t="shared" si="12"/>
        <v>0</v>
      </c>
      <c r="L39" s="47">
        <f t="shared" si="12"/>
        <v>0</v>
      </c>
      <c r="M39" s="216">
        <f t="shared" si="12"/>
        <v>0</v>
      </c>
    </row>
    <row r="40" spans="1:13">
      <c r="A40" s="9"/>
      <c r="B40" s="24" t="s">
        <v>13</v>
      </c>
      <c r="C40" s="235"/>
      <c r="D40" s="235"/>
      <c r="E40" s="235">
        <f>D40</f>
        <v>0</v>
      </c>
      <c r="F40" s="235"/>
      <c r="G40" s="235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6</v>
      </c>
      <c r="E49" s="37">
        <f>E50+E51</f>
        <v>6</v>
      </c>
      <c r="F49" s="37"/>
      <c r="G49" s="37">
        <f t="shared" ref="G49:M49" si="16">G50+G51</f>
        <v>116</v>
      </c>
      <c r="H49" s="37">
        <f t="shared" si="16"/>
        <v>116</v>
      </c>
      <c r="I49" s="37">
        <f t="shared" si="16"/>
        <v>122</v>
      </c>
      <c r="J49" s="37">
        <f t="shared" si="16"/>
        <v>464800</v>
      </c>
      <c r="K49" s="37">
        <f t="shared" si="16"/>
        <v>44800</v>
      </c>
      <c r="L49" s="37">
        <f t="shared" si="16"/>
        <v>0</v>
      </c>
      <c r="M49" s="219">
        <f t="shared" si="16"/>
        <v>509600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35"/>
      <c r="D51" s="235">
        <v>5</v>
      </c>
      <c r="E51" s="235">
        <f t="shared" si="14"/>
        <v>5</v>
      </c>
      <c r="F51" s="235"/>
      <c r="G51" s="153">
        <v>88</v>
      </c>
      <c r="H51" s="30">
        <f>G51</f>
        <v>88</v>
      </c>
      <c r="I51" s="30">
        <f>H51+E51</f>
        <v>93</v>
      </c>
      <c r="J51" s="30">
        <f>4000*I51</f>
        <v>372000</v>
      </c>
      <c r="K51" s="30"/>
      <c r="L51" s="46"/>
      <c r="M51" s="43">
        <f>J51+K51+(L51*15000)</f>
        <v>372000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1</v>
      </c>
      <c r="E54" s="37">
        <f>E55</f>
        <v>1</v>
      </c>
      <c r="F54" s="37">
        <f>F55</f>
        <v>0</v>
      </c>
      <c r="G54" s="37">
        <f>G55</f>
        <v>44</v>
      </c>
      <c r="H54" s="38">
        <f t="shared" si="17"/>
        <v>44</v>
      </c>
      <c r="I54" s="38">
        <f t="shared" si="17"/>
        <v>46</v>
      </c>
      <c r="J54" s="38">
        <f t="shared" si="17"/>
        <v>299000</v>
      </c>
      <c r="K54" s="38">
        <f t="shared" si="17"/>
        <v>140800</v>
      </c>
      <c r="L54" s="48">
        <f t="shared" si="17"/>
        <v>0</v>
      </c>
      <c r="M54" s="44">
        <f t="shared" si="17"/>
        <v>439800</v>
      </c>
    </row>
    <row r="55" spans="1:13">
      <c r="A55" s="14"/>
      <c r="B55" s="2" t="s">
        <v>210</v>
      </c>
      <c r="C55" s="29"/>
      <c r="D55" s="29">
        <v>1</v>
      </c>
      <c r="E55" s="29">
        <f>D55</f>
        <v>1</v>
      </c>
      <c r="F55" s="29"/>
      <c r="G55" s="29">
        <f>E55*44</f>
        <v>44</v>
      </c>
      <c r="H55" s="31">
        <f>G55</f>
        <v>44</v>
      </c>
      <c r="I55" s="31">
        <f>H55+E55*2</f>
        <v>46</v>
      </c>
      <c r="J55" s="30">
        <f>6500*I55</f>
        <v>299000</v>
      </c>
      <c r="K55" s="30">
        <f>3200*H55</f>
        <v>140800</v>
      </c>
      <c r="L55" s="49"/>
      <c r="M55" s="43">
        <f>J55+K55</f>
        <v>439800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82</v>
      </c>
      <c r="H58" s="170">
        <f>H59</f>
        <v>82</v>
      </c>
      <c r="I58" s="170">
        <f>I59</f>
        <v>86</v>
      </c>
      <c r="J58" s="170">
        <f>J59</f>
        <v>421400</v>
      </c>
      <c r="K58" s="170">
        <f>K59</f>
        <v>231600</v>
      </c>
      <c r="L58" s="81">
        <f>L59+L63</f>
        <v>1</v>
      </c>
      <c r="M58" s="217">
        <f>M59</f>
        <v>653000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82</v>
      </c>
      <c r="H59" s="31">
        <f>G59</f>
        <v>82</v>
      </c>
      <c r="I59" s="31">
        <f>H59+E59*2</f>
        <v>86</v>
      </c>
      <c r="J59" s="79">
        <v>421400</v>
      </c>
      <c r="K59" s="31">
        <v>231600</v>
      </c>
      <c r="L59" s="49"/>
      <c r="M59" s="80">
        <f>J59+K59</f>
        <v>653000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38</v>
      </c>
      <c r="D64" s="42">
        <f>D8+D13+D20+D22+D24+D26+D28+D31+D33+D37+D39+D44+D47+D49+D52+D54+D56+D58</f>
        <v>226</v>
      </c>
      <c r="E64" s="42">
        <f>E8+E13+E20+E22+E24+E26+E28+E31+E33+E37+E39+E44+E47+E49+E52+E54+E56+E58+E60</f>
        <v>264</v>
      </c>
      <c r="F64" s="42">
        <f>F8+F13+F28+F33+F60</f>
        <v>667</v>
      </c>
      <c r="G64" s="42">
        <f>G8+G13+G20+G22+G24+G26+G28+G31+G33+G37+G39+G44+G47+G49+G52+G54+G56+G58</f>
        <v>4161</v>
      </c>
      <c r="H64" s="42">
        <f>H8+H13+H20+H22+H24+H26+H28+H31+H33+H37+H39+H44+H47+H49+H52+H54+H56+H58+H60</f>
        <v>4828</v>
      </c>
      <c r="I64" s="42">
        <f>I8+I13+I20+I22+I24+I26+I28+I31+I33+I37+I39+I44+I47+I49+I52+I54+I56+I58+I60</f>
        <v>5112</v>
      </c>
      <c r="J64" s="42">
        <f>J8+J13+J20+J22+J24+J26+J28+J31+J33+J37+J39+J44+J47+J49+J52+J54+J56+J58</f>
        <v>17344260</v>
      </c>
      <c r="K64" s="42">
        <f>K8+K13+K20+K22+K24+K26+K28+K31+K33+K37+K39+K44+K47+K49+K52+K54+K56+K58</f>
        <v>3180000</v>
      </c>
      <c r="L64" s="50"/>
      <c r="M64" s="42">
        <f>M8+M13+M20+M22+M24+M26+M28+M31+M33+M37+M39+M44+M47+M49+M52+M54+M56+M58+M60+M65+M66</f>
        <v>20690660</v>
      </c>
    </row>
    <row r="65" spans="2:13" ht="14.25" thickTop="1" thickBot="1">
      <c r="D65" s="337"/>
      <c r="E65" s="337"/>
      <c r="J65" s="115"/>
      <c r="K65" s="149" t="s">
        <v>96</v>
      </c>
      <c r="L65" s="147">
        <v>1</v>
      </c>
      <c r="M65" s="149">
        <f>20000*L65</f>
        <v>20000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4</v>
      </c>
      <c r="M66" s="150">
        <f>15000*L66</f>
        <v>60000</v>
      </c>
    </row>
    <row r="67" spans="2:13">
      <c r="B67" s="144" t="s">
        <v>74</v>
      </c>
      <c r="C67" s="131">
        <f>F67+G67</f>
        <v>15</v>
      </c>
      <c r="D67" s="340">
        <f>C67*25000</f>
        <v>375000</v>
      </c>
      <c r="E67" s="341"/>
      <c r="F67" s="131">
        <v>0</v>
      </c>
      <c r="G67" s="145">
        <v>15</v>
      </c>
      <c r="H67" s="119"/>
      <c r="K67" s="97" t="s">
        <v>32</v>
      </c>
      <c r="L67" s="234">
        <f>L65+L66</f>
        <v>5</v>
      </c>
    </row>
    <row r="68" spans="2:13" ht="13.5" thickBot="1">
      <c r="B68" s="120" t="s">
        <v>75</v>
      </c>
      <c r="C68" s="131">
        <f t="shared" ref="C68:C74" si="20">F68+G68</f>
        <v>19</v>
      </c>
      <c r="D68" s="342">
        <f>C68*30000</f>
        <v>570000</v>
      </c>
      <c r="E68" s="343"/>
      <c r="F68" s="122">
        <v>8</v>
      </c>
      <c r="G68" s="139">
        <v>11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11</v>
      </c>
      <c r="D69" s="329">
        <f>C69*35000</f>
        <v>385000</v>
      </c>
      <c r="E69" s="330"/>
      <c r="F69" s="121">
        <v>0</v>
      </c>
      <c r="G69" s="138">
        <v>11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12</v>
      </c>
      <c r="D70" s="329">
        <f>C70*20000</f>
        <v>240000</v>
      </c>
      <c r="E70" s="330"/>
      <c r="F70" s="121">
        <v>3</v>
      </c>
      <c r="G70" s="138">
        <v>9</v>
      </c>
      <c r="H70" s="135"/>
      <c r="I70" s="97"/>
      <c r="K70" s="109" t="s">
        <v>132</v>
      </c>
      <c r="L70" s="163">
        <f>C77</f>
        <v>51</v>
      </c>
      <c r="M70" s="110">
        <f>D77</f>
        <v>1570000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89</v>
      </c>
      <c r="M71" s="112">
        <f>D78+D79</f>
        <v>1022000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45</v>
      </c>
      <c r="M72" s="114">
        <f>L72*20000</f>
        <v>900000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50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51</v>
      </c>
      <c r="D77" s="344">
        <f>SUM(D67:E76)</f>
        <v>1570000</v>
      </c>
      <c r="E77" s="345"/>
      <c r="F77" s="133"/>
      <c r="G77" s="134"/>
      <c r="H77" s="119"/>
      <c r="J77">
        <v>40</v>
      </c>
      <c r="K77">
        <v>46</v>
      </c>
      <c r="M77">
        <f>J77*5590+K77*4300</f>
        <v>421400</v>
      </c>
    </row>
    <row r="78" spans="2:13" ht="13.5" thickTop="1">
      <c r="B78" s="129" t="s">
        <v>144</v>
      </c>
      <c r="C78" s="131">
        <v>14</v>
      </c>
      <c r="D78" s="346">
        <v>128000</v>
      </c>
      <c r="E78" s="347"/>
      <c r="F78" s="130"/>
      <c r="G78" s="143"/>
      <c r="H78" s="119"/>
      <c r="J78" s="32">
        <v>38</v>
      </c>
      <c r="K78">
        <v>44</v>
      </c>
      <c r="M78" s="32">
        <f>J78*3200+K78*2500</f>
        <v>231600</v>
      </c>
    </row>
    <row r="79" spans="2:13" ht="13.5" thickBot="1">
      <c r="B79" s="125" t="s">
        <v>145</v>
      </c>
      <c r="C79" s="162">
        <v>75</v>
      </c>
      <c r="D79" s="348">
        <v>894000</v>
      </c>
      <c r="E79" s="348"/>
      <c r="F79" s="126"/>
      <c r="G79" s="127"/>
      <c r="H79" s="119"/>
      <c r="J79" t="s">
        <v>72</v>
      </c>
      <c r="M79" s="32">
        <f>M77+M78</f>
        <v>653000</v>
      </c>
    </row>
    <row r="80" spans="2:13" ht="13.5" thickTop="1">
      <c r="M80" s="32">
        <f>M64+M79-M59</f>
        <v>20690660</v>
      </c>
    </row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80"/>
  <sheetViews>
    <sheetView topLeftCell="A56" workbookViewId="0">
      <selection activeCell="L64" sqref="L64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2</v>
      </c>
      <c r="E8" s="34">
        <f>SUM(E9:E12)</f>
        <v>3</v>
      </c>
      <c r="F8" s="34">
        <f>F9</f>
        <v>24</v>
      </c>
      <c r="G8" s="34">
        <f>G10+G11+G12</f>
        <v>56</v>
      </c>
      <c r="H8" s="35">
        <f>SUM(H9:H12)</f>
        <v>80</v>
      </c>
      <c r="I8" s="35">
        <f>SUM(I9:I12)</f>
        <v>84</v>
      </c>
      <c r="J8" s="35">
        <f>SUM(J9:J12)</f>
        <v>296000</v>
      </c>
      <c r="K8" s="35">
        <f>SUM(K9:K12)</f>
        <v>76800</v>
      </c>
      <c r="L8" s="34">
        <f>L9+L10+L11+L12</f>
        <v>0</v>
      </c>
      <c r="M8" s="35">
        <f>SUM(M9:M12)</f>
        <v>372800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1</v>
      </c>
      <c r="E10" s="235">
        <f>D10</f>
        <v>1</v>
      </c>
      <c r="F10" s="235"/>
      <c r="G10" s="235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25</v>
      </c>
      <c r="D13" s="37">
        <f>D15+D16+D17+D18+D19</f>
        <v>33</v>
      </c>
      <c r="E13" s="37">
        <f>SUM(E14:E19)</f>
        <v>58</v>
      </c>
      <c r="F13" s="37">
        <f>F14</f>
        <v>375</v>
      </c>
      <c r="G13" s="37">
        <f>G15+G16+G17+G18+G19</f>
        <v>495</v>
      </c>
      <c r="H13" s="37">
        <f>SUM(H14:H19)</f>
        <v>870</v>
      </c>
      <c r="I13" s="37">
        <f>SUM(I14:I19)</f>
        <v>928</v>
      </c>
      <c r="J13" s="37">
        <f>SUM(J14:J19)</f>
        <v>2969600</v>
      </c>
      <c r="K13" s="37">
        <f>SUM(K14:K19)</f>
        <v>1392000</v>
      </c>
      <c r="L13" s="47">
        <f>L14+L15+L16+L17+L18+L19</f>
        <v>0</v>
      </c>
      <c r="M13" s="38">
        <f>SUM(M14:M19)</f>
        <v>4361600</v>
      </c>
    </row>
    <row r="14" spans="1:13">
      <c r="A14" s="12"/>
      <c r="B14" s="1" t="s">
        <v>3</v>
      </c>
      <c r="C14" s="235">
        <v>25</v>
      </c>
      <c r="D14" s="235"/>
      <c r="E14" s="235">
        <f>C14</f>
        <v>25</v>
      </c>
      <c r="F14" s="235">
        <f>C14*15</f>
        <v>375</v>
      </c>
      <c r="G14" s="235"/>
      <c r="H14" s="30">
        <f>F14</f>
        <v>375</v>
      </c>
      <c r="I14" s="30">
        <f t="shared" ref="I14:I19" si="1">H14+E14</f>
        <v>400</v>
      </c>
      <c r="J14" s="30">
        <f t="shared" ref="J14:J19" si="2">3200*I14</f>
        <v>1280000</v>
      </c>
      <c r="K14" s="30">
        <f t="shared" si="0"/>
        <v>600000</v>
      </c>
      <c r="L14" s="46"/>
      <c r="M14" s="43">
        <f t="shared" ref="M14:M19" si="3">J14+K14</f>
        <v>1880000</v>
      </c>
    </row>
    <row r="15" spans="1:13">
      <c r="A15" s="12"/>
      <c r="B15" s="1" t="s">
        <v>6</v>
      </c>
      <c r="C15" s="235"/>
      <c r="D15" s="235">
        <v>14</v>
      </c>
      <c r="E15" s="235">
        <f>D15</f>
        <v>14</v>
      </c>
      <c r="F15" s="235"/>
      <c r="G15" s="235">
        <f>D15*15</f>
        <v>210</v>
      </c>
      <c r="H15" s="30">
        <f>G15</f>
        <v>210</v>
      </c>
      <c r="I15" s="30">
        <f t="shared" si="1"/>
        <v>224</v>
      </c>
      <c r="J15" s="30">
        <f t="shared" si="2"/>
        <v>716800</v>
      </c>
      <c r="K15" s="30">
        <f t="shared" si="0"/>
        <v>336000</v>
      </c>
      <c r="L15" s="46"/>
      <c r="M15" s="43">
        <f t="shared" si="3"/>
        <v>1052800</v>
      </c>
    </row>
    <row r="16" spans="1:13">
      <c r="A16" s="12"/>
      <c r="B16" s="1" t="s">
        <v>5</v>
      </c>
      <c r="C16" s="235"/>
      <c r="D16" s="235">
        <v>16</v>
      </c>
      <c r="E16" s="235">
        <f>D16</f>
        <v>16</v>
      </c>
      <c r="F16" s="235"/>
      <c r="G16" s="235">
        <f>D16*15</f>
        <v>240</v>
      </c>
      <c r="H16" s="30">
        <f>G16</f>
        <v>240</v>
      </c>
      <c r="I16" s="30">
        <f t="shared" si="1"/>
        <v>256</v>
      </c>
      <c r="J16" s="30">
        <f t="shared" si="2"/>
        <v>819200</v>
      </c>
      <c r="K16" s="30">
        <f t="shared" si="0"/>
        <v>384000</v>
      </c>
      <c r="L16" s="46"/>
      <c r="M16" s="43">
        <f t="shared" si="3"/>
        <v>1203200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74</v>
      </c>
      <c r="E20" s="37">
        <f>E21</f>
        <v>74</v>
      </c>
      <c r="F20" s="37"/>
      <c r="G20" s="37">
        <f t="shared" ref="G20:M20" si="4">G21</f>
        <v>1162</v>
      </c>
      <c r="H20" s="37">
        <f t="shared" si="4"/>
        <v>1162</v>
      </c>
      <c r="I20" s="37">
        <f t="shared" si="4"/>
        <v>1238</v>
      </c>
      <c r="J20" s="37">
        <f t="shared" si="4"/>
        <v>3961600</v>
      </c>
      <c r="K20" s="37">
        <f t="shared" si="4"/>
        <v>0</v>
      </c>
      <c r="L20" s="47">
        <f t="shared" si="4"/>
        <v>0</v>
      </c>
      <c r="M20" s="38">
        <f t="shared" si="4"/>
        <v>3961600</v>
      </c>
    </row>
    <row r="21" spans="1:13">
      <c r="A21" s="10"/>
      <c r="B21" s="24" t="s">
        <v>19</v>
      </c>
      <c r="C21" s="235"/>
      <c r="D21" s="235">
        <v>74</v>
      </c>
      <c r="E21" s="235">
        <f>D21</f>
        <v>74</v>
      </c>
      <c r="F21" s="235"/>
      <c r="G21" s="235">
        <v>1162</v>
      </c>
      <c r="H21" s="30">
        <f>G20</f>
        <v>1162</v>
      </c>
      <c r="I21" s="30">
        <v>1238</v>
      </c>
      <c r="J21" s="30">
        <f>3200*I21</f>
        <v>3961600</v>
      </c>
      <c r="K21" s="30"/>
      <c r="L21" s="46"/>
      <c r="M21" s="43">
        <f>J21+K21</f>
        <v>3961600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24</v>
      </c>
      <c r="H24" s="38">
        <f t="shared" si="6"/>
        <v>24</v>
      </c>
      <c r="I24" s="38">
        <f t="shared" si="6"/>
        <v>25</v>
      </c>
      <c r="J24" s="38">
        <f t="shared" si="6"/>
        <v>80000</v>
      </c>
      <c r="K24" s="38">
        <f t="shared" si="6"/>
        <v>38400</v>
      </c>
      <c r="L24" s="48">
        <f t="shared" si="6"/>
        <v>0</v>
      </c>
      <c r="M24" s="216">
        <f t="shared" si="6"/>
        <v>118400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24</v>
      </c>
      <c r="H25" s="30">
        <f>G25</f>
        <v>24</v>
      </c>
      <c r="I25" s="30">
        <f>H25+E25</f>
        <v>25</v>
      </c>
      <c r="J25" s="30">
        <f>3200*I25</f>
        <v>80000</v>
      </c>
      <c r="K25" s="30">
        <f>1600*H25</f>
        <v>38400</v>
      </c>
      <c r="L25" s="46"/>
      <c r="M25" s="43">
        <f>J25+K25</f>
        <v>118400</v>
      </c>
    </row>
    <row r="26" spans="1:13">
      <c r="A26" s="39">
        <v>6</v>
      </c>
      <c r="B26" s="33" t="s">
        <v>25</v>
      </c>
      <c r="C26" s="37"/>
      <c r="D26" s="37">
        <f>D27</f>
        <v>0</v>
      </c>
      <c r="E26" s="37">
        <f>E27</f>
        <v>0</v>
      </c>
      <c r="F26" s="37"/>
      <c r="G26" s="37">
        <f t="shared" ref="G26:M26" si="7">G27</f>
        <v>0</v>
      </c>
      <c r="H26" s="38">
        <f t="shared" si="7"/>
        <v>0</v>
      </c>
      <c r="I26" s="38">
        <f t="shared" si="7"/>
        <v>0</v>
      </c>
      <c r="J26" s="38">
        <f t="shared" si="7"/>
        <v>0</v>
      </c>
      <c r="K26" s="38">
        <f t="shared" si="7"/>
        <v>0</v>
      </c>
      <c r="L26" s="48">
        <f t="shared" si="7"/>
        <v>0</v>
      </c>
      <c r="M26" s="216">
        <f t="shared" si="7"/>
        <v>0</v>
      </c>
    </row>
    <row r="27" spans="1:13">
      <c r="A27" s="15"/>
      <c r="B27" s="3" t="s">
        <v>10</v>
      </c>
      <c r="C27" s="235"/>
      <c r="D27" s="235"/>
      <c r="E27" s="235">
        <f>D26</f>
        <v>0</v>
      </c>
      <c r="F27" s="235"/>
      <c r="G27" s="235">
        <f>E27*24</f>
        <v>0</v>
      </c>
      <c r="H27" s="30">
        <f>G27</f>
        <v>0</v>
      </c>
      <c r="I27" s="30">
        <f>H27+E27</f>
        <v>0</v>
      </c>
      <c r="J27" s="30">
        <f>3200*I27</f>
        <v>0</v>
      </c>
      <c r="K27" s="30">
        <f>1600*H27</f>
        <v>0</v>
      </c>
      <c r="L27" s="46"/>
      <c r="M27" s="43">
        <f>J27+K27</f>
        <v>0</v>
      </c>
    </row>
    <row r="28" spans="1:13">
      <c r="A28" s="36">
        <v>7</v>
      </c>
      <c r="B28" s="33" t="s">
        <v>26</v>
      </c>
      <c r="C28" s="37">
        <f>C29</f>
        <v>2</v>
      </c>
      <c r="D28" s="37">
        <f>D30</f>
        <v>2</v>
      </c>
      <c r="E28" s="37">
        <f>E29+E30</f>
        <v>4</v>
      </c>
      <c r="F28" s="37">
        <f>F29</f>
        <v>48</v>
      </c>
      <c r="G28" s="37">
        <f>G30</f>
        <v>48</v>
      </c>
      <c r="H28" s="38">
        <f t="shared" ref="H28:M28" si="8">H29+H30</f>
        <v>96</v>
      </c>
      <c r="I28" s="38">
        <f t="shared" si="8"/>
        <v>100</v>
      </c>
      <c r="J28" s="38">
        <f t="shared" si="8"/>
        <v>320000</v>
      </c>
      <c r="K28" s="38">
        <f t="shared" si="8"/>
        <v>153600</v>
      </c>
      <c r="L28" s="48">
        <f t="shared" si="8"/>
        <v>0</v>
      </c>
      <c r="M28" s="216">
        <f t="shared" si="8"/>
        <v>473600</v>
      </c>
    </row>
    <row r="29" spans="1:13">
      <c r="A29" s="12"/>
      <c r="B29" s="1" t="s">
        <v>3</v>
      </c>
      <c r="C29" s="235">
        <v>2</v>
      </c>
      <c r="D29" s="235"/>
      <c r="E29" s="235">
        <f>C29</f>
        <v>2</v>
      </c>
      <c r="F29" s="235">
        <v>48</v>
      </c>
      <c r="G29" s="235"/>
      <c r="H29" s="30">
        <f>F29</f>
        <v>48</v>
      </c>
      <c r="I29" s="30">
        <f>H29+E29</f>
        <v>50</v>
      </c>
      <c r="J29" s="30">
        <f>3200*I29</f>
        <v>160000</v>
      </c>
      <c r="K29" s="30">
        <f>1600*H29</f>
        <v>76800</v>
      </c>
      <c r="L29" s="46"/>
      <c r="M29" s="43">
        <f>J29+K29</f>
        <v>236800</v>
      </c>
    </row>
    <row r="30" spans="1:13">
      <c r="A30" s="12"/>
      <c r="B30" s="1" t="s">
        <v>11</v>
      </c>
      <c r="C30" s="235"/>
      <c r="D30" s="235">
        <v>2</v>
      </c>
      <c r="E30" s="235">
        <f>D30</f>
        <v>2</v>
      </c>
      <c r="F30" s="235"/>
      <c r="G30" s="30">
        <v>48</v>
      </c>
      <c r="H30" s="30">
        <f>G30</f>
        <v>48</v>
      </c>
      <c r="I30" s="30">
        <f>H30+E30</f>
        <v>50</v>
      </c>
      <c r="J30" s="30">
        <f>3200*I30</f>
        <v>160000</v>
      </c>
      <c r="K30" s="30">
        <f>1600*H30</f>
        <v>76800</v>
      </c>
      <c r="L30" s="46"/>
      <c r="M30" s="43">
        <f>J30+K30+M62</f>
        <v>236800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25</v>
      </c>
      <c r="E31" s="37">
        <f t="shared" si="9"/>
        <v>25</v>
      </c>
      <c r="F31" s="37">
        <f t="shared" si="9"/>
        <v>0</v>
      </c>
      <c r="G31" s="37">
        <f t="shared" si="9"/>
        <v>375</v>
      </c>
      <c r="H31" s="37">
        <f t="shared" si="9"/>
        <v>375</v>
      </c>
      <c r="I31" s="37">
        <f t="shared" si="9"/>
        <v>400</v>
      </c>
      <c r="J31" s="37">
        <f t="shared" si="9"/>
        <v>1280000</v>
      </c>
      <c r="K31" s="37">
        <f t="shared" si="9"/>
        <v>0</v>
      </c>
      <c r="L31" s="37">
        <f t="shared" si="9"/>
        <v>0</v>
      </c>
      <c r="M31" s="38">
        <f t="shared" si="9"/>
        <v>1280000</v>
      </c>
    </row>
    <row r="32" spans="1:13">
      <c r="A32" s="10"/>
      <c r="B32" s="24" t="s">
        <v>19</v>
      </c>
      <c r="C32" s="235"/>
      <c r="D32" s="235">
        <v>25</v>
      </c>
      <c r="E32" s="235">
        <f>D32</f>
        <v>25</v>
      </c>
      <c r="F32" s="235"/>
      <c r="G32" s="235">
        <f>E32*15</f>
        <v>375</v>
      </c>
      <c r="H32" s="30">
        <f>G32</f>
        <v>375</v>
      </c>
      <c r="I32" s="30">
        <f>H32+E32</f>
        <v>400</v>
      </c>
      <c r="J32" s="30">
        <f>3200*I32</f>
        <v>1280000</v>
      </c>
      <c r="K32" s="30"/>
      <c r="L32" s="46"/>
      <c r="M32" s="43">
        <f>J32+K32</f>
        <v>1280000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12</v>
      </c>
      <c r="E33" s="37">
        <f>E34+E35+E36</f>
        <v>18</v>
      </c>
      <c r="F33" s="37">
        <f>F34</f>
        <v>150</v>
      </c>
      <c r="G33" s="37">
        <f>G35+G36</f>
        <v>322</v>
      </c>
      <c r="H33" s="38">
        <f t="shared" ref="H33:M33" si="10">H34+H35+H36</f>
        <v>472</v>
      </c>
      <c r="I33" s="38">
        <f t="shared" si="10"/>
        <v>491</v>
      </c>
      <c r="J33" s="35">
        <f t="shared" si="10"/>
        <v>1645600</v>
      </c>
      <c r="K33" s="35">
        <f t="shared" si="10"/>
        <v>612800</v>
      </c>
      <c r="L33" s="47">
        <f t="shared" si="10"/>
        <v>0</v>
      </c>
      <c r="M33" s="216">
        <f t="shared" si="10"/>
        <v>2301600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150</v>
      </c>
      <c r="G34" s="235"/>
      <c r="H34" s="30">
        <f>F34</f>
        <v>150</v>
      </c>
      <c r="I34" s="30">
        <f>H34+E34</f>
        <v>156</v>
      </c>
      <c r="J34" s="30">
        <f>3200*I34</f>
        <v>499200</v>
      </c>
      <c r="K34" s="30">
        <f>1600*H34</f>
        <v>240000</v>
      </c>
      <c r="L34" s="46"/>
      <c r="M34" s="43">
        <f>J34+K34</f>
        <v>739200</v>
      </c>
    </row>
    <row r="35" spans="1:13">
      <c r="A35" s="13"/>
      <c r="B35" s="1" t="s">
        <v>12</v>
      </c>
      <c r="C35" s="235"/>
      <c r="D35" s="235">
        <v>9</v>
      </c>
      <c r="E35" s="235">
        <f>D35</f>
        <v>9</v>
      </c>
      <c r="F35" s="235"/>
      <c r="G35" s="235">
        <v>233</v>
      </c>
      <c r="H35" s="30">
        <f>G35</f>
        <v>233</v>
      </c>
      <c r="I35" s="30">
        <f>H35+E35</f>
        <v>242</v>
      </c>
      <c r="J35" s="30">
        <f>3200*I35</f>
        <v>774400</v>
      </c>
      <c r="K35" s="30">
        <f>1600*H35</f>
        <v>372800</v>
      </c>
      <c r="L35" s="46"/>
      <c r="M35" s="43">
        <f>J35+K35+M63</f>
        <v>1190400</v>
      </c>
    </row>
    <row r="36" spans="1:13">
      <c r="A36" s="13"/>
      <c r="B36" s="96" t="s">
        <v>128</v>
      </c>
      <c r="C36" s="235"/>
      <c r="D36" s="235">
        <v>3</v>
      </c>
      <c r="E36" s="235">
        <f>D36</f>
        <v>3</v>
      </c>
      <c r="F36" s="235"/>
      <c r="G36" s="235">
        <v>89</v>
      </c>
      <c r="H36" s="30">
        <f>G36</f>
        <v>89</v>
      </c>
      <c r="I36" s="30">
        <v>93</v>
      </c>
      <c r="J36" s="30">
        <f>4000*I36</f>
        <v>372000</v>
      </c>
      <c r="K36" s="30"/>
      <c r="L36" s="46"/>
      <c r="M36" s="43">
        <f>J36+K36</f>
        <v>372000</v>
      </c>
    </row>
    <row r="37" spans="1:13">
      <c r="A37" s="36">
        <v>10</v>
      </c>
      <c r="B37" s="33" t="s">
        <v>28</v>
      </c>
      <c r="C37" s="37"/>
      <c r="D37" s="37">
        <f>D38</f>
        <v>24</v>
      </c>
      <c r="E37" s="37">
        <f>E38</f>
        <v>24</v>
      </c>
      <c r="F37" s="37"/>
      <c r="G37" s="37">
        <f t="shared" ref="G37:M37" si="11">G38</f>
        <v>373</v>
      </c>
      <c r="H37" s="38">
        <f t="shared" si="11"/>
        <v>373</v>
      </c>
      <c r="I37" s="38">
        <f t="shared" si="11"/>
        <v>397</v>
      </c>
      <c r="J37" s="38">
        <f t="shared" si="11"/>
        <v>1588000</v>
      </c>
      <c r="K37" s="38">
        <f t="shared" si="11"/>
        <v>0</v>
      </c>
      <c r="L37" s="48">
        <f t="shared" si="11"/>
        <v>0</v>
      </c>
      <c r="M37" s="216">
        <f t="shared" si="11"/>
        <v>1588000</v>
      </c>
    </row>
    <row r="38" spans="1:13">
      <c r="A38" s="13"/>
      <c r="B38" s="96" t="s">
        <v>128</v>
      </c>
      <c r="C38" s="235"/>
      <c r="D38" s="235">
        <v>24</v>
      </c>
      <c r="E38" s="235">
        <f>D38</f>
        <v>24</v>
      </c>
      <c r="F38" s="235"/>
      <c r="G38" s="235">
        <v>373</v>
      </c>
      <c r="H38" s="30">
        <f>G38</f>
        <v>373</v>
      </c>
      <c r="I38" s="30">
        <f>H38+E38</f>
        <v>397</v>
      </c>
      <c r="J38" s="30">
        <f>4000*I38</f>
        <v>1588000</v>
      </c>
      <c r="K38" s="30"/>
      <c r="L38" s="46"/>
      <c r="M38" s="43">
        <f>J38+K38</f>
        <v>1588000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88</v>
      </c>
      <c r="H49" s="37">
        <f t="shared" si="16"/>
        <v>88</v>
      </c>
      <c r="I49" s="37">
        <f t="shared" si="16"/>
        <v>93</v>
      </c>
      <c r="J49" s="37">
        <f t="shared" si="16"/>
        <v>359200</v>
      </c>
      <c r="K49" s="37">
        <f t="shared" si="16"/>
        <v>24000</v>
      </c>
      <c r="L49" s="37">
        <f t="shared" si="16"/>
        <v>0</v>
      </c>
      <c r="M49" s="219">
        <f t="shared" si="16"/>
        <v>383200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1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34</v>
      </c>
      <c r="D64" s="42">
        <f>D8+D13+D20+D22+D24+D26+D28+D31+D33+D37+D39+D44+D47+D49+D52+D54+D56+D58</f>
        <v>186</v>
      </c>
      <c r="E64" s="42">
        <f>E8+E13+E20+E22+E24+E26+E28+E31+E33+E37+E39+E44+E47+E49+E52+E54+E56+E58+E60</f>
        <v>220</v>
      </c>
      <c r="F64" s="42">
        <f>F8+F13+F28+F33+F60</f>
        <v>597</v>
      </c>
      <c r="G64" s="42">
        <f>G8+G13+G20+G22+G24+G26+G28+G31+G33+G37+G39+G44+G47+G49+G52+G54+G56+G58</f>
        <v>3237</v>
      </c>
      <c r="H64" s="42">
        <f>H8+H13+H20+H22+H24+H26+H28+H31+H33+H37+H39+H44+H47+H49+H52+H54+H56+H58+H60</f>
        <v>3834</v>
      </c>
      <c r="I64" s="42">
        <f>I8+I13+I20+I22+I24+I26+I28+I31+I33+I37+I39+I44+I47+I49+I52+I54+I56+I58+I60</f>
        <v>4064</v>
      </c>
      <c r="J64" s="42">
        <f>J8+J13+J20+J22+J24+J26+J28+J31+J33+J37+J39+J44+J47+J49+J52+J54+J56+J58</f>
        <v>13983360</v>
      </c>
      <c r="K64" s="42">
        <f>K8+K13+K20+K22+K24+K26+K28+K31+K33+K37+K39+K44+K47+K49+K52+K54+K56+K58</f>
        <v>2841800</v>
      </c>
      <c r="L64" s="50"/>
      <c r="M64" s="42">
        <f>M8+M13+M20+M22+M24+M26+M28+M31+M33+M37+M39+M44+M47+M49+M52+M54+M56+M58+M60+M65+M66</f>
        <v>16988360</v>
      </c>
    </row>
    <row r="65" spans="2:13" ht="14.25" thickTop="1" thickBot="1">
      <c r="D65" s="337"/>
      <c r="E65" s="337"/>
      <c r="J65" s="115"/>
      <c r="K65" s="149" t="s">
        <v>96</v>
      </c>
      <c r="L65" s="147">
        <v>3</v>
      </c>
      <c r="M65" s="149">
        <f>20000*L65</f>
        <v>60000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4</v>
      </c>
      <c r="M66" s="150">
        <f>15000*L66</f>
        <v>60000</v>
      </c>
    </row>
    <row r="67" spans="2:13">
      <c r="B67" s="144" t="s">
        <v>74</v>
      </c>
      <c r="C67" s="131">
        <f>F67+G67</f>
        <v>15</v>
      </c>
      <c r="D67" s="340">
        <f>C67*25000</f>
        <v>375000</v>
      </c>
      <c r="E67" s="341"/>
      <c r="F67" s="131"/>
      <c r="G67" s="145">
        <v>15</v>
      </c>
      <c r="H67" s="119"/>
      <c r="K67" s="97" t="s">
        <v>32</v>
      </c>
      <c r="L67" s="234">
        <f>L65+L66</f>
        <v>7</v>
      </c>
    </row>
    <row r="68" spans="2:13" ht="13.5" thickBot="1">
      <c r="B68" s="120" t="s">
        <v>75</v>
      </c>
      <c r="C68" s="131">
        <f t="shared" ref="C68:C74" si="20">F68+G68</f>
        <v>7</v>
      </c>
      <c r="D68" s="342">
        <f>C68*30000</f>
        <v>210000</v>
      </c>
      <c r="E68" s="343"/>
      <c r="F68" s="122">
        <v>2</v>
      </c>
      <c r="G68" s="139">
        <v>5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18</v>
      </c>
      <c r="D69" s="329">
        <f>C69*35000</f>
        <v>630000</v>
      </c>
      <c r="E69" s="330"/>
      <c r="F69" s="121">
        <v>11</v>
      </c>
      <c r="G69" s="138">
        <v>7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17</v>
      </c>
      <c r="D70" s="329">
        <f>C70*20000</f>
        <v>340000</v>
      </c>
      <c r="E70" s="330"/>
      <c r="F70" s="121">
        <v>11</v>
      </c>
      <c r="G70" s="138">
        <v>6</v>
      </c>
      <c r="H70" s="135"/>
      <c r="I70" s="97"/>
      <c r="K70" s="109" t="s">
        <v>132</v>
      </c>
      <c r="L70" s="163">
        <f>C77</f>
        <v>48.5</v>
      </c>
      <c r="M70" s="110">
        <f>D77</f>
        <v>1555000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132</v>
      </c>
      <c r="M71" s="112">
        <f>D78+D79</f>
        <v>1582000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49</v>
      </c>
      <c r="M72" s="114">
        <f>L72*20000</f>
        <v>980000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56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48.5</v>
      </c>
      <c r="D77" s="344">
        <f>SUM(D67:E76)</f>
        <v>1555000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45</v>
      </c>
      <c r="D78" s="346">
        <v>540000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87</v>
      </c>
      <c r="D79" s="348">
        <v>1042000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25" top="1" bottom="1" header="0.5" footer="0.5"/>
  <pageSetup paperSize="9" orientation="landscape" verticalDpi="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M76" sqref="M76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3</v>
      </c>
      <c r="E8" s="34">
        <f>SUM(E9:E12)</f>
        <v>4</v>
      </c>
      <c r="F8" s="34">
        <f>F9</f>
        <v>24</v>
      </c>
      <c r="G8" s="34">
        <f>G10+G11+G12</f>
        <v>84</v>
      </c>
      <c r="H8" s="35">
        <f>SUM(H9:H12)</f>
        <v>108</v>
      </c>
      <c r="I8" s="35">
        <f>SUM(I9:I12)</f>
        <v>113</v>
      </c>
      <c r="J8" s="35">
        <f>SUM(J9:J12)</f>
        <v>388800</v>
      </c>
      <c r="K8" s="35">
        <f>SUM(K9:K12)</f>
        <v>121600</v>
      </c>
      <c r="L8" s="34">
        <f>L9+L10+L11+L12</f>
        <v>0</v>
      </c>
      <c r="M8" s="35">
        <f>SUM(M9:M12)</f>
        <v>510400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2</v>
      </c>
      <c r="E10" s="235">
        <f>D10</f>
        <v>2</v>
      </c>
      <c r="F10" s="235"/>
      <c r="G10" s="235">
        <v>52</v>
      </c>
      <c r="H10" s="30">
        <f>G10</f>
        <v>52</v>
      </c>
      <c r="I10" s="30">
        <f>H10+E10</f>
        <v>54</v>
      </c>
      <c r="J10" s="30">
        <f>3200*I10</f>
        <v>172800</v>
      </c>
      <c r="K10" s="30">
        <f t="shared" ref="K10:K19" si="0">1600*H10</f>
        <v>83200</v>
      </c>
      <c r="L10" s="46"/>
      <c r="M10" s="43">
        <f>J10+K10</f>
        <v>256000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25</v>
      </c>
      <c r="D13" s="37">
        <f>D15+D16+D17+D18+D19</f>
        <v>29</v>
      </c>
      <c r="E13" s="37">
        <f>SUM(E14:E19)</f>
        <v>54</v>
      </c>
      <c r="F13" s="37">
        <f>F14</f>
        <v>375</v>
      </c>
      <c r="G13" s="37">
        <f>G15+G16+G17+G18+G19</f>
        <v>435</v>
      </c>
      <c r="H13" s="37">
        <f>SUM(H14:H19)</f>
        <v>810</v>
      </c>
      <c r="I13" s="37">
        <f>SUM(I14:I19)</f>
        <v>864</v>
      </c>
      <c r="J13" s="37">
        <f>SUM(J14:J19)</f>
        <v>2764800</v>
      </c>
      <c r="K13" s="37">
        <f>SUM(K14:K19)</f>
        <v>1296000</v>
      </c>
      <c r="L13" s="47">
        <f>L14+L15+L16+L17+L18+L19</f>
        <v>0</v>
      </c>
      <c r="M13" s="38">
        <f>SUM(M14:M19)</f>
        <v>4060800</v>
      </c>
    </row>
    <row r="14" spans="1:13">
      <c r="A14" s="12"/>
      <c r="B14" s="1" t="s">
        <v>3</v>
      </c>
      <c r="C14" s="235">
        <v>25</v>
      </c>
      <c r="D14" s="235"/>
      <c r="E14" s="235">
        <f>C14</f>
        <v>25</v>
      </c>
      <c r="F14" s="235">
        <f>C14*15</f>
        <v>375</v>
      </c>
      <c r="G14" s="235"/>
      <c r="H14" s="30">
        <f>F14</f>
        <v>375</v>
      </c>
      <c r="I14" s="30">
        <f t="shared" ref="I14:I19" si="1">H14+E14</f>
        <v>400</v>
      </c>
      <c r="J14" s="30">
        <f t="shared" ref="J14:J19" si="2">3200*I14</f>
        <v>1280000</v>
      </c>
      <c r="K14" s="30">
        <f t="shared" si="0"/>
        <v>600000</v>
      </c>
      <c r="L14" s="46"/>
      <c r="M14" s="43">
        <f t="shared" ref="M14:M19" si="3">J14+K14</f>
        <v>1880000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16</v>
      </c>
      <c r="E16" s="235">
        <f>D16</f>
        <v>16</v>
      </c>
      <c r="F16" s="235"/>
      <c r="G16" s="235">
        <f>D16*15</f>
        <v>240</v>
      </c>
      <c r="H16" s="30">
        <f>G16</f>
        <v>240</v>
      </c>
      <c r="I16" s="30">
        <f t="shared" si="1"/>
        <v>256</v>
      </c>
      <c r="J16" s="30">
        <f t="shared" si="2"/>
        <v>819200</v>
      </c>
      <c r="K16" s="30">
        <f t="shared" si="0"/>
        <v>384000</v>
      </c>
      <c r="L16" s="46"/>
      <c r="M16" s="43">
        <f t="shared" si="3"/>
        <v>1203200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/>
      <c r="E18" s="235">
        <f>D18</f>
        <v>0</v>
      </c>
      <c r="F18" s="235"/>
      <c r="G18" s="235">
        <f>D18*15</f>
        <v>0</v>
      </c>
      <c r="H18" s="30">
        <f>G18</f>
        <v>0</v>
      </c>
      <c r="I18" s="30">
        <f t="shared" si="1"/>
        <v>0</v>
      </c>
      <c r="J18" s="30">
        <f t="shared" si="2"/>
        <v>0</v>
      </c>
      <c r="K18" s="30">
        <f t="shared" si="0"/>
        <v>0</v>
      </c>
      <c r="L18" s="46"/>
      <c r="M18" s="43">
        <f t="shared" si="3"/>
        <v>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81</v>
      </c>
      <c r="E20" s="37">
        <f>E21</f>
        <v>81</v>
      </c>
      <c r="F20" s="37"/>
      <c r="G20" s="37">
        <f t="shared" ref="G20:M20" si="4">G21</f>
        <v>1215</v>
      </c>
      <c r="H20" s="37">
        <f t="shared" si="4"/>
        <v>1215</v>
      </c>
      <c r="I20" s="37">
        <f t="shared" si="4"/>
        <v>1296</v>
      </c>
      <c r="J20" s="37">
        <f t="shared" si="4"/>
        <v>4147200</v>
      </c>
      <c r="K20" s="37">
        <f t="shared" si="4"/>
        <v>0</v>
      </c>
      <c r="L20" s="47">
        <f t="shared" si="4"/>
        <v>0</v>
      </c>
      <c r="M20" s="38">
        <f t="shared" si="4"/>
        <v>4147200</v>
      </c>
    </row>
    <row r="21" spans="1:13">
      <c r="A21" s="10"/>
      <c r="B21" s="24" t="s">
        <v>19</v>
      </c>
      <c r="C21" s="235"/>
      <c r="D21" s="235">
        <v>81</v>
      </c>
      <c r="E21" s="235">
        <f>D21</f>
        <v>81</v>
      </c>
      <c r="F21" s="235"/>
      <c r="G21" s="235">
        <f>E21*15</f>
        <v>1215</v>
      </c>
      <c r="H21" s="30">
        <f>G20</f>
        <v>1215</v>
      </c>
      <c r="I21" s="30">
        <f>H21+E21</f>
        <v>1296</v>
      </c>
      <c r="J21" s="30">
        <f>3200*I21</f>
        <v>4147200</v>
      </c>
      <c r="K21" s="30"/>
      <c r="L21" s="46"/>
      <c r="M21" s="43">
        <f>J21+K21</f>
        <v>4147200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2</v>
      </c>
      <c r="D28" s="37">
        <f>D30</f>
        <v>3</v>
      </c>
      <c r="E28" s="37">
        <f>E29+E30</f>
        <v>5</v>
      </c>
      <c r="F28" s="37">
        <f>F29</f>
        <v>56</v>
      </c>
      <c r="G28" s="37">
        <f>G30</f>
        <v>68</v>
      </c>
      <c r="H28" s="38">
        <f t="shared" ref="H28:M28" si="8">H29+H30</f>
        <v>124</v>
      </c>
      <c r="I28" s="38">
        <f t="shared" si="8"/>
        <v>129</v>
      </c>
      <c r="J28" s="38">
        <f t="shared" si="8"/>
        <v>412800</v>
      </c>
      <c r="K28" s="38">
        <f t="shared" si="8"/>
        <v>198400</v>
      </c>
      <c r="L28" s="48">
        <f t="shared" si="8"/>
        <v>0</v>
      </c>
      <c r="M28" s="216">
        <f t="shared" si="8"/>
        <v>611200</v>
      </c>
    </row>
    <row r="29" spans="1:13">
      <c r="A29" s="12"/>
      <c r="B29" s="1" t="s">
        <v>3</v>
      </c>
      <c r="C29" s="235">
        <v>2</v>
      </c>
      <c r="D29" s="235"/>
      <c r="E29" s="235">
        <f>C29</f>
        <v>2</v>
      </c>
      <c r="F29" s="235">
        <v>56</v>
      </c>
      <c r="G29" s="235"/>
      <c r="H29" s="30">
        <f>F29</f>
        <v>56</v>
      </c>
      <c r="I29" s="30">
        <f>H29+E29</f>
        <v>58</v>
      </c>
      <c r="J29" s="30">
        <f>3200*I29</f>
        <v>185600</v>
      </c>
      <c r="K29" s="30">
        <f>1600*H29</f>
        <v>89600</v>
      </c>
      <c r="L29" s="46"/>
      <c r="M29" s="43">
        <f>J29+K29</f>
        <v>275200</v>
      </c>
    </row>
    <row r="30" spans="1:13">
      <c r="A30" s="12"/>
      <c r="B30" s="1" t="s">
        <v>11</v>
      </c>
      <c r="C30" s="235"/>
      <c r="D30" s="235">
        <v>3</v>
      </c>
      <c r="E30" s="235">
        <f>D30</f>
        <v>3</v>
      </c>
      <c r="F30" s="235"/>
      <c r="G30" s="30">
        <v>68</v>
      </c>
      <c r="H30" s="30">
        <f>G30</f>
        <v>68</v>
      </c>
      <c r="I30" s="30">
        <f>H30+E30</f>
        <v>71</v>
      </c>
      <c r="J30" s="30">
        <f>3200*I30</f>
        <v>227200</v>
      </c>
      <c r="K30" s="30">
        <f>1600*H30</f>
        <v>108800</v>
      </c>
      <c r="L30" s="46"/>
      <c r="M30" s="43">
        <f>J30+K30+M62</f>
        <v>336000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20</v>
      </c>
      <c r="E31" s="37">
        <f t="shared" si="9"/>
        <v>20</v>
      </c>
      <c r="F31" s="37">
        <f t="shared" si="9"/>
        <v>0</v>
      </c>
      <c r="G31" s="37">
        <f t="shared" si="9"/>
        <v>300</v>
      </c>
      <c r="H31" s="37">
        <f t="shared" si="9"/>
        <v>300</v>
      </c>
      <c r="I31" s="37">
        <f t="shared" si="9"/>
        <v>320</v>
      </c>
      <c r="J31" s="37">
        <f t="shared" si="9"/>
        <v>1024000</v>
      </c>
      <c r="K31" s="37">
        <f t="shared" si="9"/>
        <v>0</v>
      </c>
      <c r="L31" s="37">
        <f t="shared" si="9"/>
        <v>0</v>
      </c>
      <c r="M31" s="38">
        <f t="shared" si="9"/>
        <v>1024000</v>
      </c>
    </row>
    <row r="32" spans="1:13">
      <c r="A32" s="10"/>
      <c r="B32" s="24" t="s">
        <v>19</v>
      </c>
      <c r="C32" s="235"/>
      <c r="D32" s="235">
        <v>20</v>
      </c>
      <c r="E32" s="235">
        <f>D32</f>
        <v>20</v>
      </c>
      <c r="F32" s="235"/>
      <c r="G32" s="235">
        <f>E32*15</f>
        <v>300</v>
      </c>
      <c r="H32" s="30">
        <f>G32</f>
        <v>300</v>
      </c>
      <c r="I32" s="30">
        <f>H32+E32</f>
        <v>320</v>
      </c>
      <c r="J32" s="30">
        <f>3200*I32</f>
        <v>1024000</v>
      </c>
      <c r="K32" s="30"/>
      <c r="L32" s="46"/>
      <c r="M32" s="43">
        <f>J32+K32</f>
        <v>1024000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150</v>
      </c>
      <c r="G33" s="37">
        <f>G35+G36</f>
        <v>279</v>
      </c>
      <c r="H33" s="38">
        <f t="shared" ref="H33:M33" si="10">H34+H35+H36</f>
        <v>429</v>
      </c>
      <c r="I33" s="38">
        <f t="shared" si="10"/>
        <v>446</v>
      </c>
      <c r="J33" s="35">
        <f t="shared" si="10"/>
        <v>1478400</v>
      </c>
      <c r="K33" s="35">
        <f t="shared" si="10"/>
        <v>588800</v>
      </c>
      <c r="L33" s="47">
        <f t="shared" si="10"/>
        <v>0</v>
      </c>
      <c r="M33" s="216">
        <f t="shared" si="10"/>
        <v>2067200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150</v>
      </c>
      <c r="G34" s="235"/>
      <c r="H34" s="30">
        <f>F34</f>
        <v>150</v>
      </c>
      <c r="I34" s="30">
        <f>H34+E34</f>
        <v>156</v>
      </c>
      <c r="J34" s="30">
        <f>3200*I34</f>
        <v>499200</v>
      </c>
      <c r="K34" s="30">
        <f>1600*H34</f>
        <v>240000</v>
      </c>
      <c r="L34" s="46"/>
      <c r="M34" s="43">
        <f>J34+K34</f>
        <v>739200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218</v>
      </c>
      <c r="H35" s="30">
        <f>G35</f>
        <v>218</v>
      </c>
      <c r="I35" s="30">
        <f>H35+E35</f>
        <v>226</v>
      </c>
      <c r="J35" s="30">
        <f>3200*I35</f>
        <v>723200</v>
      </c>
      <c r="K35" s="30">
        <f>1600*H35</f>
        <v>348800</v>
      </c>
      <c r="L35" s="46"/>
      <c r="M35" s="43">
        <f>J35+K35+M63</f>
        <v>1072000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22</v>
      </c>
      <c r="E37" s="37">
        <f>E38</f>
        <v>22</v>
      </c>
      <c r="F37" s="37"/>
      <c r="G37" s="37">
        <f t="shared" ref="G37:M37" si="11">G38</f>
        <v>330</v>
      </c>
      <c r="H37" s="38">
        <f t="shared" si="11"/>
        <v>330</v>
      </c>
      <c r="I37" s="38">
        <f t="shared" si="11"/>
        <v>352</v>
      </c>
      <c r="J37" s="38">
        <f t="shared" si="11"/>
        <v>1408000</v>
      </c>
      <c r="K37" s="38">
        <f t="shared" si="11"/>
        <v>0</v>
      </c>
      <c r="L37" s="48">
        <f t="shared" si="11"/>
        <v>0</v>
      </c>
      <c r="M37" s="216">
        <f t="shared" si="11"/>
        <v>1408000</v>
      </c>
    </row>
    <row r="38" spans="1:13">
      <c r="A38" s="13"/>
      <c r="B38" s="96" t="s">
        <v>128</v>
      </c>
      <c r="C38" s="235"/>
      <c r="D38" s="235">
        <v>22</v>
      </c>
      <c r="E38" s="235">
        <f>D38</f>
        <v>22</v>
      </c>
      <c r="F38" s="235"/>
      <c r="G38" s="235">
        <f>E38*15</f>
        <v>330</v>
      </c>
      <c r="H38" s="30">
        <f>G38</f>
        <v>330</v>
      </c>
      <c r="I38" s="30">
        <f>H38+E38</f>
        <v>352</v>
      </c>
      <c r="J38" s="30">
        <f>4000*I38</f>
        <v>1408000</v>
      </c>
      <c r="K38" s="30"/>
      <c r="L38" s="46"/>
      <c r="M38" s="43">
        <f>J38+K38</f>
        <v>1408000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88</v>
      </c>
      <c r="H49" s="37">
        <f t="shared" si="16"/>
        <v>88</v>
      </c>
      <c r="I49" s="37">
        <f t="shared" si="16"/>
        <v>93</v>
      </c>
      <c r="J49" s="37">
        <f t="shared" si="16"/>
        <v>359200</v>
      </c>
      <c r="K49" s="37">
        <f t="shared" si="16"/>
        <v>24000</v>
      </c>
      <c r="L49" s="37">
        <f t="shared" si="16"/>
        <v>0</v>
      </c>
      <c r="M49" s="219">
        <f t="shared" si="16"/>
        <v>383200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1</v>
      </c>
      <c r="E52" s="37">
        <f t="shared" si="17"/>
        <v>1</v>
      </c>
      <c r="F52" s="37">
        <f t="shared" si="17"/>
        <v>0</v>
      </c>
      <c r="G52" s="37">
        <f t="shared" si="17"/>
        <v>44</v>
      </c>
      <c r="H52" s="37">
        <f t="shared" si="17"/>
        <v>44</v>
      </c>
      <c r="I52" s="38">
        <f t="shared" si="17"/>
        <v>46</v>
      </c>
      <c r="J52" s="38">
        <f t="shared" si="17"/>
        <v>257140</v>
      </c>
      <c r="K52" s="38">
        <f t="shared" si="17"/>
        <v>140800</v>
      </c>
      <c r="L52" s="48">
        <f t="shared" si="17"/>
        <v>0</v>
      </c>
      <c r="M52" s="44">
        <f t="shared" si="17"/>
        <v>397940</v>
      </c>
    </row>
    <row r="53" spans="1:13">
      <c r="A53" s="14"/>
      <c r="B53" s="96" t="s">
        <v>215</v>
      </c>
      <c r="C53" s="29"/>
      <c r="D53" s="29">
        <v>1</v>
      </c>
      <c r="E53" s="29">
        <f>D53</f>
        <v>1</v>
      </c>
      <c r="F53" s="29"/>
      <c r="G53" s="29">
        <v>44</v>
      </c>
      <c r="H53" s="31">
        <f>G53</f>
        <v>44</v>
      </c>
      <c r="I53" s="31">
        <f>H53+E53*2</f>
        <v>46</v>
      </c>
      <c r="J53" s="30">
        <f>5590*I53</f>
        <v>257140</v>
      </c>
      <c r="K53" s="30">
        <f>3200*H53</f>
        <v>140800</v>
      </c>
      <c r="L53" s="49"/>
      <c r="M53" s="43">
        <f>J53+K53</f>
        <v>397940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84</v>
      </c>
      <c r="H58" s="170">
        <f>H59</f>
        <v>84</v>
      </c>
      <c r="I58" s="170">
        <f>I59</f>
        <v>88</v>
      </c>
      <c r="J58" s="170">
        <f>J59</f>
        <v>432580</v>
      </c>
      <c r="K58" s="170">
        <f>K59</f>
        <v>238000</v>
      </c>
      <c r="L58" s="81">
        <f>L59+L63</f>
        <v>0</v>
      </c>
      <c r="M58" s="217">
        <f>M59</f>
        <v>670580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84</v>
      </c>
      <c r="H59" s="31">
        <f>G59</f>
        <v>84</v>
      </c>
      <c r="I59" s="31">
        <f>H59+E59*2</f>
        <v>88</v>
      </c>
      <c r="J59" s="79">
        <v>432580</v>
      </c>
      <c r="K59" s="31">
        <v>238000</v>
      </c>
      <c r="L59" s="49"/>
      <c r="M59" s="80">
        <f>J59+K59</f>
        <v>670580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34</v>
      </c>
      <c r="D64" s="42">
        <f>D8+D13+D20+D22+D24+D26+D28+D31+D33+D37+D39+D44+D47+D49+D52+D54+D56+D58</f>
        <v>182</v>
      </c>
      <c r="E64" s="42">
        <f>E8+E13+E20+E22+E24+E26+E28+E31+E33+E37+E39+E44+E47+E49+E52+E54+E56+E58+E60</f>
        <v>216</v>
      </c>
      <c r="F64" s="42">
        <f>F8+F13+F28+F33+F60</f>
        <v>605</v>
      </c>
      <c r="G64" s="42">
        <f>G8+G13+G20+G22+G24+G26+G28+G31+G33+G37+G39+G44+G47+G49+G52+G54+G56+G58</f>
        <v>3133</v>
      </c>
      <c r="H64" s="42">
        <f>H8+H13+H20+H22+H24+H26+H28+H31+H33+H37+H39+H44+H47+H49+H52+H54+H56+H58+H60</f>
        <v>3738</v>
      </c>
      <c r="I64" s="42">
        <f>I8+I13+I20+I22+I24+I26+I28+I31+I33+I37+I39+I44+I47+I49+I52+I54+I56+I58+I60</f>
        <v>3963</v>
      </c>
      <c r="J64" s="42">
        <f>J8+J13+J20+J22+J24+J26+J28+J31+J33+J37+J39+J44+J47+J49+J52+J54+J56+J58</f>
        <v>13615480</v>
      </c>
      <c r="K64" s="42">
        <f>K8+K13+K20+K22+K24+K26+K28+K31+K33+K37+K39+K44+K47+K49+K52+K54+K56+K58</f>
        <v>2924800</v>
      </c>
      <c r="L64" s="50"/>
      <c r="M64" s="42">
        <f>M8+M13+M20+M22+M24+M26+M28+M31+M33+M37+M39+M44+M47+M49+M52+M54+M56+M58+M60+M65+M66</f>
        <v>16585280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18</v>
      </c>
      <c r="D67" s="340">
        <f>C67*25000</f>
        <v>450000</v>
      </c>
      <c r="E67" s="341"/>
      <c r="F67" s="131">
        <v>1</v>
      </c>
      <c r="G67" s="145">
        <v>17</v>
      </c>
      <c r="H67" s="119"/>
      <c r="K67" s="97" t="s">
        <v>32</v>
      </c>
      <c r="L67" s="234">
        <f>L65+L66</f>
        <v>3</v>
      </c>
    </row>
    <row r="68" spans="2:13" ht="13.5" thickBot="1">
      <c r="B68" s="120" t="s">
        <v>75</v>
      </c>
      <c r="C68" s="131">
        <f t="shared" ref="C68:C74" si="20">F68+G68</f>
        <v>15</v>
      </c>
      <c r="D68" s="342">
        <f>C68*30000</f>
        <v>450000</v>
      </c>
      <c r="E68" s="343"/>
      <c r="F68" s="122">
        <v>10</v>
      </c>
      <c r="G68" s="139">
        <v>5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14</v>
      </c>
      <c r="D69" s="329">
        <f>C69*35000</f>
        <v>490000</v>
      </c>
      <c r="E69" s="330"/>
      <c r="F69" s="121">
        <v>4</v>
      </c>
      <c r="G69" s="138">
        <v>10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15</v>
      </c>
      <c r="D70" s="329">
        <f>C70*20000</f>
        <v>300000</v>
      </c>
      <c r="E70" s="330"/>
      <c r="F70" s="121">
        <v>12</v>
      </c>
      <c r="G70" s="138">
        <v>3</v>
      </c>
      <c r="H70" s="135"/>
      <c r="I70" s="97"/>
      <c r="K70" s="109" t="s">
        <v>132</v>
      </c>
      <c r="L70" s="163">
        <f>C77</f>
        <v>54.5</v>
      </c>
      <c r="M70" s="110">
        <f>D77</f>
        <v>1690000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107</v>
      </c>
      <c r="M71" s="112">
        <f>D78+D79</f>
        <v>1248000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49</v>
      </c>
      <c r="M72" s="114">
        <f>L72*20000</f>
        <v>980000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52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J75">
        <v>46</v>
      </c>
      <c r="K75">
        <v>42</v>
      </c>
      <c r="M75" s="32">
        <f>J75*4300+K75*5590</f>
        <v>432580</v>
      </c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>
        <v>44</v>
      </c>
      <c r="K76">
        <v>40</v>
      </c>
      <c r="M76">
        <f>J76*2500+K76*3200</f>
        <v>238000</v>
      </c>
    </row>
    <row r="77" spans="2:13" ht="14.25" thickTop="1" thickBot="1">
      <c r="B77" s="132" t="s">
        <v>54</v>
      </c>
      <c r="C77" s="160">
        <f>C67+C68+C69+(C70/2)+C71+(C72/2)+C73+(C74/2)+C75+C76</f>
        <v>54.5</v>
      </c>
      <c r="D77" s="344">
        <f>SUM(D67:E76)</f>
        <v>1690000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33</v>
      </c>
      <c r="D78" s="346">
        <v>411000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74</v>
      </c>
      <c r="D79" s="348">
        <v>837000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K48" sqref="K4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2</v>
      </c>
      <c r="E8" s="34">
        <f>SUM(E9:E12)</f>
        <v>3</v>
      </c>
      <c r="F8" s="34">
        <f>F9</f>
        <v>24</v>
      </c>
      <c r="G8" s="34">
        <f>G10+G11+G12</f>
        <v>56</v>
      </c>
      <c r="H8" s="35">
        <f>SUM(H9:H12)</f>
        <v>80</v>
      </c>
      <c r="I8" s="35">
        <f>SUM(I9:I12)</f>
        <v>84</v>
      </c>
      <c r="J8" s="35">
        <f>SUM(J9:J12)</f>
        <v>296000</v>
      </c>
      <c r="K8" s="35">
        <f>SUM(K9:K12)</f>
        <v>76800</v>
      </c>
      <c r="L8" s="34">
        <f>L9+L10+L11+L12</f>
        <v>0</v>
      </c>
      <c r="M8" s="35">
        <f>SUM(M9:M12)</f>
        <v>372800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1</v>
      </c>
      <c r="E10" s="235">
        <f>D10</f>
        <v>1</v>
      </c>
      <c r="F10" s="235"/>
      <c r="G10" s="235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24</v>
      </c>
      <c r="D13" s="37">
        <f>D15+D16+D17+D18+D19</f>
        <v>27</v>
      </c>
      <c r="E13" s="37">
        <f>SUM(E14:E19)</f>
        <v>51</v>
      </c>
      <c r="F13" s="37">
        <f>F14</f>
        <v>360</v>
      </c>
      <c r="G13" s="37">
        <f>G15+G16+G17+G18+G19</f>
        <v>405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7">
        <f>L14+L15+L16+L17+L18+L19</f>
        <v>0</v>
      </c>
      <c r="M13" s="38">
        <f>SUM(M14:M19)</f>
        <v>3835200</v>
      </c>
    </row>
    <row r="14" spans="1:13">
      <c r="A14" s="12"/>
      <c r="B14" s="1" t="s">
        <v>3</v>
      </c>
      <c r="C14" s="235">
        <v>24</v>
      </c>
      <c r="D14" s="235"/>
      <c r="E14" s="235">
        <f>C14</f>
        <v>24</v>
      </c>
      <c r="F14" s="235">
        <f>C14*15</f>
        <v>360</v>
      </c>
      <c r="G14" s="235"/>
      <c r="H14" s="30">
        <f>F14</f>
        <v>360</v>
      </c>
      <c r="I14" s="30">
        <f t="shared" ref="I14:I19" si="1">H14+E14</f>
        <v>384</v>
      </c>
      <c r="J14" s="30">
        <f t="shared" ref="J14:J19" si="2">3200*I14</f>
        <v>1228800</v>
      </c>
      <c r="K14" s="30">
        <f t="shared" si="0"/>
        <v>576000</v>
      </c>
      <c r="L14" s="46"/>
      <c r="M14" s="43">
        <f t="shared" ref="M14:M19" si="3">J14+K14</f>
        <v>1804800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13</v>
      </c>
      <c r="E16" s="235">
        <f>D16</f>
        <v>13</v>
      </c>
      <c r="F16" s="235"/>
      <c r="G16" s="235">
        <f>D16*15</f>
        <v>195</v>
      </c>
      <c r="H16" s="30">
        <f>G16</f>
        <v>195</v>
      </c>
      <c r="I16" s="30">
        <f t="shared" si="1"/>
        <v>208</v>
      </c>
      <c r="J16" s="30">
        <f t="shared" si="2"/>
        <v>665600</v>
      </c>
      <c r="K16" s="30">
        <f t="shared" si="0"/>
        <v>312000</v>
      </c>
      <c r="L16" s="46"/>
      <c r="M16" s="43">
        <f t="shared" si="3"/>
        <v>977600</v>
      </c>
    </row>
    <row r="17" spans="1:13">
      <c r="A17" s="12"/>
      <c r="B17" s="2" t="s">
        <v>7</v>
      </c>
      <c r="C17" s="235"/>
      <c r="D17" s="235"/>
      <c r="E17" s="235">
        <f>D17</f>
        <v>0</v>
      </c>
      <c r="F17" s="235"/>
      <c r="G17" s="235">
        <f>D17*15</f>
        <v>0</v>
      </c>
      <c r="H17" s="30">
        <f>G17</f>
        <v>0</v>
      </c>
      <c r="I17" s="30">
        <f t="shared" si="1"/>
        <v>0</v>
      </c>
      <c r="J17" s="30">
        <f t="shared" si="2"/>
        <v>0</v>
      </c>
      <c r="K17" s="30">
        <f t="shared" si="0"/>
        <v>0</v>
      </c>
      <c r="L17" s="46"/>
      <c r="M17" s="43">
        <f t="shared" si="3"/>
        <v>0</v>
      </c>
    </row>
    <row r="18" spans="1:13">
      <c r="A18" s="13"/>
      <c r="B18" s="2" t="s">
        <v>8</v>
      </c>
      <c r="C18" s="235"/>
      <c r="D18" s="235">
        <v>2</v>
      </c>
      <c r="E18" s="235">
        <f>D18</f>
        <v>2</v>
      </c>
      <c r="F18" s="235"/>
      <c r="G18" s="235">
        <f>D18*15</f>
        <v>30</v>
      </c>
      <c r="H18" s="30">
        <f>G18</f>
        <v>30</v>
      </c>
      <c r="I18" s="30">
        <f t="shared" si="1"/>
        <v>32</v>
      </c>
      <c r="J18" s="30">
        <f t="shared" si="2"/>
        <v>102400</v>
      </c>
      <c r="K18" s="30">
        <f t="shared" si="0"/>
        <v>48000</v>
      </c>
      <c r="L18" s="46"/>
      <c r="M18" s="43">
        <f t="shared" si="3"/>
        <v>150400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76</v>
      </c>
      <c r="E20" s="37">
        <f>E21</f>
        <v>76</v>
      </c>
      <c r="F20" s="37"/>
      <c r="G20" s="37">
        <f t="shared" ref="G20:M20" si="4">G21</f>
        <v>1140</v>
      </c>
      <c r="H20" s="37">
        <f t="shared" si="4"/>
        <v>1140</v>
      </c>
      <c r="I20" s="37">
        <f t="shared" si="4"/>
        <v>1216</v>
      </c>
      <c r="J20" s="37">
        <f t="shared" si="4"/>
        <v>3891200</v>
      </c>
      <c r="K20" s="37">
        <f t="shared" si="4"/>
        <v>0</v>
      </c>
      <c r="L20" s="47">
        <f t="shared" si="4"/>
        <v>0</v>
      </c>
      <c r="M20" s="38">
        <f t="shared" si="4"/>
        <v>3891200</v>
      </c>
    </row>
    <row r="21" spans="1:13">
      <c r="A21" s="10"/>
      <c r="B21" s="24" t="s">
        <v>19</v>
      </c>
      <c r="C21" s="235"/>
      <c r="D21" s="235">
        <v>76</v>
      </c>
      <c r="E21" s="235">
        <f>D21</f>
        <v>76</v>
      </c>
      <c r="F21" s="235"/>
      <c r="G21" s="235">
        <f>E21*15</f>
        <v>1140</v>
      </c>
      <c r="H21" s="30">
        <f>G20</f>
        <v>1140</v>
      </c>
      <c r="I21" s="30">
        <f>H21+E21</f>
        <v>1216</v>
      </c>
      <c r="J21" s="30">
        <f>3200*I21</f>
        <v>3891200</v>
      </c>
      <c r="K21" s="30"/>
      <c r="L21" s="46"/>
      <c r="M21" s="43">
        <f>J21+K21</f>
        <v>3891200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2</v>
      </c>
      <c r="D28" s="37">
        <f>D30</f>
        <v>6</v>
      </c>
      <c r="E28" s="37">
        <f>E29+E30</f>
        <v>8</v>
      </c>
      <c r="F28" s="37">
        <f>F29</f>
        <v>48</v>
      </c>
      <c r="G28" s="37">
        <f>G30</f>
        <v>130</v>
      </c>
      <c r="H28" s="38">
        <f t="shared" ref="H28:M28" si="8">H29+H30</f>
        <v>178</v>
      </c>
      <c r="I28" s="38">
        <f t="shared" si="8"/>
        <v>186</v>
      </c>
      <c r="J28" s="38">
        <f t="shared" si="8"/>
        <v>595200</v>
      </c>
      <c r="K28" s="38">
        <f t="shared" si="8"/>
        <v>284800</v>
      </c>
      <c r="L28" s="48">
        <f t="shared" si="8"/>
        <v>0</v>
      </c>
      <c r="M28" s="216">
        <f t="shared" si="8"/>
        <v>966400</v>
      </c>
    </row>
    <row r="29" spans="1:13">
      <c r="A29" s="12"/>
      <c r="B29" s="1" t="s">
        <v>3</v>
      </c>
      <c r="C29" s="235">
        <v>2</v>
      </c>
      <c r="D29" s="235"/>
      <c r="E29" s="235">
        <f>C29</f>
        <v>2</v>
      </c>
      <c r="F29" s="235">
        <v>48</v>
      </c>
      <c r="G29" s="235"/>
      <c r="H29" s="30">
        <f>F29</f>
        <v>48</v>
      </c>
      <c r="I29" s="30">
        <f>H29+E29</f>
        <v>50</v>
      </c>
      <c r="J29" s="30">
        <f>3200*I29</f>
        <v>160000</v>
      </c>
      <c r="K29" s="30">
        <f>1600*H29</f>
        <v>76800</v>
      </c>
      <c r="L29" s="46"/>
      <c r="M29" s="43">
        <f>J29+K29</f>
        <v>236800</v>
      </c>
    </row>
    <row r="30" spans="1:13">
      <c r="A30" s="12"/>
      <c r="B30" s="1" t="s">
        <v>11</v>
      </c>
      <c r="C30" s="235"/>
      <c r="D30" s="235">
        <v>6</v>
      </c>
      <c r="E30" s="235">
        <f>D30</f>
        <v>6</v>
      </c>
      <c r="F30" s="235"/>
      <c r="G30" s="30">
        <v>130</v>
      </c>
      <c r="H30" s="30">
        <f>G30</f>
        <v>130</v>
      </c>
      <c r="I30" s="30">
        <f>H30+E30</f>
        <v>136</v>
      </c>
      <c r="J30" s="30">
        <f>3200*I30</f>
        <v>435200</v>
      </c>
      <c r="K30" s="30">
        <f>1600*H30</f>
        <v>208000</v>
      </c>
      <c r="L30" s="46"/>
      <c r="M30" s="43">
        <f>J30+K30+M62</f>
        <v>729600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20</v>
      </c>
      <c r="E31" s="37">
        <f t="shared" si="9"/>
        <v>20</v>
      </c>
      <c r="F31" s="37">
        <f t="shared" si="9"/>
        <v>0</v>
      </c>
      <c r="G31" s="37">
        <f t="shared" si="9"/>
        <v>300</v>
      </c>
      <c r="H31" s="37">
        <f t="shared" si="9"/>
        <v>300</v>
      </c>
      <c r="I31" s="37">
        <f t="shared" si="9"/>
        <v>320</v>
      </c>
      <c r="J31" s="37">
        <f t="shared" si="9"/>
        <v>1024000</v>
      </c>
      <c r="K31" s="37">
        <f t="shared" si="9"/>
        <v>0</v>
      </c>
      <c r="L31" s="37">
        <f t="shared" si="9"/>
        <v>0</v>
      </c>
      <c r="M31" s="38">
        <f t="shared" si="9"/>
        <v>1024000</v>
      </c>
    </row>
    <row r="32" spans="1:13">
      <c r="A32" s="10"/>
      <c r="B32" s="24" t="s">
        <v>19</v>
      </c>
      <c r="C32" s="235"/>
      <c r="D32" s="235">
        <v>20</v>
      </c>
      <c r="E32" s="235">
        <f>D32</f>
        <v>20</v>
      </c>
      <c r="F32" s="235"/>
      <c r="G32" s="235">
        <f>E32*15</f>
        <v>300</v>
      </c>
      <c r="H32" s="30">
        <f>G32</f>
        <v>300</v>
      </c>
      <c r="I32" s="30">
        <f>H32+E32</f>
        <v>320</v>
      </c>
      <c r="J32" s="30">
        <f>3200*I32</f>
        <v>1024000</v>
      </c>
      <c r="K32" s="30"/>
      <c r="L32" s="46"/>
      <c r="M32" s="43">
        <f>J32+K32</f>
        <v>1024000</v>
      </c>
    </row>
    <row r="33" spans="1:13">
      <c r="A33" s="36">
        <v>9</v>
      </c>
      <c r="B33" s="33" t="s">
        <v>27</v>
      </c>
      <c r="C33" s="37">
        <f>C34</f>
        <v>5</v>
      </c>
      <c r="D33" s="37">
        <f>D35+D36</f>
        <v>9</v>
      </c>
      <c r="E33" s="37">
        <f>E34+E35+E36</f>
        <v>14</v>
      </c>
      <c r="F33" s="37">
        <f>F34</f>
        <v>130</v>
      </c>
      <c r="G33" s="37">
        <f>G35+G36</f>
        <v>251</v>
      </c>
      <c r="H33" s="38">
        <f t="shared" ref="H33:M33" si="10">H34+H35+H36</f>
        <v>381</v>
      </c>
      <c r="I33" s="38">
        <f t="shared" si="10"/>
        <v>396</v>
      </c>
      <c r="J33" s="35">
        <f t="shared" si="10"/>
        <v>1318400</v>
      </c>
      <c r="K33" s="35">
        <f t="shared" si="10"/>
        <v>512000</v>
      </c>
      <c r="L33" s="47">
        <f t="shared" si="10"/>
        <v>0</v>
      </c>
      <c r="M33" s="216">
        <f t="shared" si="10"/>
        <v>1830400</v>
      </c>
    </row>
    <row r="34" spans="1:13">
      <c r="A34" s="12"/>
      <c r="B34" s="1" t="s">
        <v>3</v>
      </c>
      <c r="C34" s="235">
        <v>5</v>
      </c>
      <c r="D34" s="235"/>
      <c r="E34" s="235">
        <f>C34</f>
        <v>5</v>
      </c>
      <c r="F34" s="235">
        <v>130</v>
      </c>
      <c r="G34" s="235"/>
      <c r="H34" s="30">
        <f>F34</f>
        <v>130</v>
      </c>
      <c r="I34" s="30">
        <f>H34+E34</f>
        <v>135</v>
      </c>
      <c r="J34" s="30">
        <f>3200*I34</f>
        <v>432000</v>
      </c>
      <c r="K34" s="30">
        <f>1600*H34</f>
        <v>208000</v>
      </c>
      <c r="L34" s="46"/>
      <c r="M34" s="43">
        <f>J34+K34</f>
        <v>640000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190</v>
      </c>
      <c r="H35" s="30">
        <f>G35</f>
        <v>190</v>
      </c>
      <c r="I35" s="30">
        <f>H35+E35</f>
        <v>197</v>
      </c>
      <c r="J35" s="30">
        <f>3200*I35</f>
        <v>630400</v>
      </c>
      <c r="K35" s="30">
        <f>1600*H35</f>
        <v>304000</v>
      </c>
      <c r="L35" s="46"/>
      <c r="M35" s="43">
        <f>J35+K35+M63</f>
        <v>934400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22</v>
      </c>
      <c r="E37" s="37">
        <f>E38</f>
        <v>22</v>
      </c>
      <c r="F37" s="37"/>
      <c r="G37" s="37">
        <f t="shared" ref="G37:M37" si="11">G38</f>
        <v>330</v>
      </c>
      <c r="H37" s="38">
        <f t="shared" si="11"/>
        <v>330</v>
      </c>
      <c r="I37" s="38">
        <f t="shared" si="11"/>
        <v>352</v>
      </c>
      <c r="J37" s="38">
        <f t="shared" si="11"/>
        <v>1408000</v>
      </c>
      <c r="K37" s="38">
        <f t="shared" si="11"/>
        <v>0</v>
      </c>
      <c r="L37" s="48">
        <f t="shared" si="11"/>
        <v>0</v>
      </c>
      <c r="M37" s="216">
        <f t="shared" si="11"/>
        <v>1408000</v>
      </c>
    </row>
    <row r="38" spans="1:13">
      <c r="A38" s="13"/>
      <c r="B38" s="96" t="s">
        <v>128</v>
      </c>
      <c r="C38" s="235"/>
      <c r="D38" s="235">
        <v>22</v>
      </c>
      <c r="E38" s="235">
        <f>D38</f>
        <v>22</v>
      </c>
      <c r="F38" s="235"/>
      <c r="G38" s="235">
        <f>E38*15</f>
        <v>330</v>
      </c>
      <c r="H38" s="30">
        <f>G38</f>
        <v>330</v>
      </c>
      <c r="I38" s="30">
        <f>H38+E38</f>
        <v>352</v>
      </c>
      <c r="J38" s="30">
        <f>4000*I38</f>
        <v>1408000</v>
      </c>
      <c r="K38" s="30"/>
      <c r="L38" s="46"/>
      <c r="M38" s="43">
        <f>J38+K38</f>
        <v>1408000</v>
      </c>
    </row>
    <row r="39" spans="1:13">
      <c r="A39" s="36">
        <v>11</v>
      </c>
      <c r="B39" s="33" t="s">
        <v>44</v>
      </c>
      <c r="C39" s="37"/>
      <c r="D39" s="37">
        <f>D40+D41+D42+D43</f>
        <v>2</v>
      </c>
      <c r="E39" s="37">
        <f>E40+E41+E42+E43</f>
        <v>2</v>
      </c>
      <c r="F39" s="37"/>
      <c r="G39" s="37">
        <f t="shared" ref="G39:M39" si="12">G40+G41+G42+G43</f>
        <v>82</v>
      </c>
      <c r="H39" s="38">
        <f t="shared" si="12"/>
        <v>82</v>
      </c>
      <c r="I39" s="38">
        <f t="shared" si="12"/>
        <v>86</v>
      </c>
      <c r="J39" s="45">
        <f t="shared" si="12"/>
        <v>421400</v>
      </c>
      <c r="K39" s="45">
        <f t="shared" si="12"/>
        <v>187600</v>
      </c>
      <c r="L39" s="47">
        <f t="shared" si="12"/>
        <v>0</v>
      </c>
      <c r="M39" s="216">
        <f t="shared" si="12"/>
        <v>609000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>
        <v>1</v>
      </c>
      <c r="E43" s="235">
        <f>D43</f>
        <v>1</v>
      </c>
      <c r="F43" s="235"/>
      <c r="G43" s="235">
        <f>E43*38</f>
        <v>38</v>
      </c>
      <c r="H43" s="30">
        <f>G43</f>
        <v>38</v>
      </c>
      <c r="I43" s="30">
        <f>H43+E43*2</f>
        <v>40</v>
      </c>
      <c r="J43" s="30">
        <f>5590*I43</f>
        <v>223600</v>
      </c>
      <c r="K43" s="30">
        <f>3200*H43</f>
        <v>121600</v>
      </c>
      <c r="L43" s="46"/>
      <c r="M43" s="43">
        <f>J43+K43</f>
        <v>345200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4</v>
      </c>
      <c r="E49" s="37">
        <f>E50+E51</f>
        <v>4</v>
      </c>
      <c r="F49" s="37"/>
      <c r="G49" s="37">
        <f t="shared" ref="G49:M49" si="16">G50+G51</f>
        <v>73</v>
      </c>
      <c r="H49" s="37">
        <f t="shared" si="16"/>
        <v>73</v>
      </c>
      <c r="I49" s="37">
        <f t="shared" si="16"/>
        <v>77</v>
      </c>
      <c r="J49" s="37">
        <f t="shared" si="16"/>
        <v>295200</v>
      </c>
      <c r="K49" s="37">
        <f t="shared" si="16"/>
        <v>24000</v>
      </c>
      <c r="L49" s="37">
        <f t="shared" si="16"/>
        <v>0</v>
      </c>
      <c r="M49" s="219">
        <f t="shared" si="16"/>
        <v>319200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3</v>
      </c>
      <c r="E51" s="235">
        <f t="shared" si="14"/>
        <v>3</v>
      </c>
      <c r="F51" s="235"/>
      <c r="G51" s="153">
        <v>58</v>
      </c>
      <c r="H51" s="30">
        <f>G51</f>
        <v>58</v>
      </c>
      <c r="I51" s="30">
        <f>H51+E51</f>
        <v>61</v>
      </c>
      <c r="J51" s="30">
        <f>4000*I51</f>
        <v>244000</v>
      </c>
      <c r="K51" s="30"/>
      <c r="L51" s="46"/>
      <c r="M51" s="43">
        <f>J51+K51+(L51*15000)</f>
        <v>244000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0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1</v>
      </c>
      <c r="D60" s="209">
        <f t="shared" si="19"/>
        <v>0</v>
      </c>
      <c r="E60" s="209">
        <f t="shared" si="19"/>
        <v>1</v>
      </c>
      <c r="F60" s="209">
        <f t="shared" si="19"/>
        <v>39</v>
      </c>
      <c r="G60" s="209">
        <f t="shared" si="19"/>
        <v>0</v>
      </c>
      <c r="H60" s="210">
        <f t="shared" si="19"/>
        <v>39</v>
      </c>
      <c r="I60" s="210">
        <f t="shared" si="19"/>
        <v>41</v>
      </c>
      <c r="J60" s="210">
        <f t="shared" si="19"/>
        <v>266500</v>
      </c>
      <c r="K60" s="210">
        <f t="shared" si="19"/>
        <v>124800</v>
      </c>
      <c r="L60" s="209"/>
      <c r="M60" s="218">
        <f>M61</f>
        <v>391300</v>
      </c>
    </row>
    <row r="61" spans="1:13">
      <c r="A61" s="14"/>
      <c r="B61" s="205" t="s">
        <v>213</v>
      </c>
      <c r="C61" s="207">
        <v>1</v>
      </c>
      <c r="D61" s="207"/>
      <c r="E61" s="207">
        <f>C61</f>
        <v>1</v>
      </c>
      <c r="F61" s="207">
        <v>39</v>
      </c>
      <c r="G61" s="207"/>
      <c r="H61" s="208">
        <f>F61</f>
        <v>39</v>
      </c>
      <c r="I61" s="208">
        <f>H61+E61*2</f>
        <v>41</v>
      </c>
      <c r="J61" s="30">
        <f>6500*I61</f>
        <v>266500</v>
      </c>
      <c r="K61" s="30">
        <f>3200*H61</f>
        <v>124800</v>
      </c>
      <c r="L61" s="49"/>
      <c r="M61" s="43">
        <f>J61+K61</f>
        <v>391300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2</v>
      </c>
      <c r="M62" s="57">
        <f>43200*L62</f>
        <v>86400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33</v>
      </c>
      <c r="D64" s="42">
        <f>D8+D13+D20+D22+D24+D26+D28+D31+D33+D37+D39+D44+D47+D49+D52+D54+D56+D58</f>
        <v>176</v>
      </c>
      <c r="E64" s="42">
        <f>E8+E13+E20+E22+E24+E26+E28+E31+E33+E37+E39+E44+E47+E49+E52+E54+E56+E58+E60</f>
        <v>209</v>
      </c>
      <c r="F64" s="42">
        <f>F8+F13+F28+F33+F60</f>
        <v>601</v>
      </c>
      <c r="G64" s="42">
        <f>G8+G13+G20+G22+G24+G26+G28+G31+G33+G37+G39+G44+G47+G49+G52+G54+G56+G58</f>
        <v>3029</v>
      </c>
      <c r="H64" s="42">
        <f>H8+H13+H20+H22+H24+H26+H28+H31+H33+H37+H39+H44+H47+H49+H52+H54+H56+H58+H60</f>
        <v>3630</v>
      </c>
      <c r="I64" s="42">
        <f>I8+I13+I20+I22+I24+I26+I28+I31+I33+I37+I39+I44+I47+I49+I52+I54+I56+I58+I60</f>
        <v>3848</v>
      </c>
      <c r="J64" s="42">
        <f>J8+J13+J20+J22+J24+J26+J28+J31+J33+J37+J39+J44+J47+J49+J52+J54+J56+J58</f>
        <v>13052560</v>
      </c>
      <c r="K64" s="42">
        <f>K8+K13+K20+K22+K24+K26+K28+K31+K33+K37+K39+K44+K47+K49+K52+K54+K56+K58</f>
        <v>2810400</v>
      </c>
      <c r="L64" s="50"/>
      <c r="M64" s="42">
        <f>M8+M13+M20+M22+M24+M26+M28+M31+M33+M37+M39+M44+M47+M49+M52+M54+M56+M58+M60+M65+M66</f>
        <v>16435660</v>
      </c>
    </row>
    <row r="65" spans="2:13" ht="14.25" thickTop="1" thickBot="1">
      <c r="D65" s="337"/>
      <c r="E65" s="337"/>
      <c r="J65" s="115"/>
      <c r="K65" s="149" t="s">
        <v>96</v>
      </c>
      <c r="L65" s="147">
        <v>1</v>
      </c>
      <c r="M65" s="149">
        <f>20000*L65</f>
        <v>20000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5</v>
      </c>
      <c r="M66" s="150">
        <f>15000*L66</f>
        <v>75000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>
        <v>0</v>
      </c>
      <c r="G67" s="145">
        <v>14</v>
      </c>
      <c r="H67" s="119"/>
      <c r="K67" s="97" t="s">
        <v>32</v>
      </c>
      <c r="L67" s="234">
        <f>L65+L66</f>
        <v>6</v>
      </c>
    </row>
    <row r="68" spans="2:13" ht="13.5" thickBot="1">
      <c r="B68" s="120" t="s">
        <v>75</v>
      </c>
      <c r="C68" s="131">
        <f t="shared" ref="C68:C74" si="20">F68+G68</f>
        <v>16</v>
      </c>
      <c r="D68" s="342">
        <f>C68*30000</f>
        <v>480000</v>
      </c>
      <c r="E68" s="343"/>
      <c r="F68" s="122">
        <v>12</v>
      </c>
      <c r="G68" s="139">
        <v>4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17</v>
      </c>
      <c r="D69" s="329">
        <f>C69*35000</f>
        <v>595000</v>
      </c>
      <c r="E69" s="330"/>
      <c r="F69" s="121">
        <v>9</v>
      </c>
      <c r="G69" s="138">
        <v>8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22</v>
      </c>
      <c r="D70" s="329">
        <f>C70*20000</f>
        <v>440000</v>
      </c>
      <c r="E70" s="330"/>
      <c r="F70" s="121">
        <v>14</v>
      </c>
      <c r="G70" s="138">
        <v>8</v>
      </c>
      <c r="H70" s="135"/>
      <c r="I70" s="97"/>
      <c r="K70" s="109" t="s">
        <v>132</v>
      </c>
      <c r="L70" s="163">
        <f>C77</f>
        <v>60</v>
      </c>
      <c r="M70" s="110">
        <f>D77</f>
        <v>1936680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139</v>
      </c>
      <c r="M71" s="112">
        <f>D78+D79</f>
        <v>1670000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50</v>
      </c>
      <c r="M72" s="114">
        <f>L72*20000</f>
        <v>1000000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56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2</v>
      </c>
      <c r="D76" s="351">
        <f>32*2240</f>
        <v>71680</v>
      </c>
      <c r="E76" s="352"/>
      <c r="F76" s="128"/>
      <c r="G76" s="142">
        <v>2</v>
      </c>
      <c r="H76" s="119"/>
      <c r="J76" s="32"/>
      <c r="K76">
        <v>46</v>
      </c>
      <c r="M76">
        <f>46*5590+44*3200</f>
        <v>397940</v>
      </c>
    </row>
    <row r="77" spans="2:13" ht="14.25" thickTop="1" thickBot="1">
      <c r="B77" s="132" t="s">
        <v>54</v>
      </c>
      <c r="C77" s="160">
        <f>C67+C68+C69+(C70/2)+C71+(C72/2)+C73+(C74/2)+C75+C76</f>
        <v>60</v>
      </c>
      <c r="D77" s="344">
        <f>SUM(D67:E76)</f>
        <v>1936680</v>
      </c>
      <c r="E77" s="345"/>
      <c r="F77" s="133"/>
      <c r="G77" s="134"/>
      <c r="H77" s="119"/>
      <c r="K77">
        <v>44</v>
      </c>
    </row>
    <row r="78" spans="2:13" ht="13.5" thickTop="1">
      <c r="B78" s="129" t="s">
        <v>144</v>
      </c>
      <c r="C78" s="131">
        <v>40</v>
      </c>
      <c r="D78" s="346">
        <v>475000</v>
      </c>
      <c r="E78" s="347"/>
      <c r="F78" s="130"/>
      <c r="G78" s="143"/>
      <c r="H78" s="119"/>
      <c r="J78" s="32">
        <f>M64+M76-M58</f>
        <v>16525800</v>
      </c>
      <c r="M78" s="32"/>
    </row>
    <row r="79" spans="2:13" ht="13.5" thickBot="1">
      <c r="B79" s="125" t="s">
        <v>145</v>
      </c>
      <c r="C79" s="162">
        <v>99</v>
      </c>
      <c r="D79" s="348">
        <v>1195000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" top="1" bottom="1" header="0.5" footer="0.5"/>
  <pageSetup paperSize="9" orientation="landscape" verticalDpi="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80"/>
  <sheetViews>
    <sheetView topLeftCell="A61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2</v>
      </c>
      <c r="E8" s="34">
        <f>SUM(E9:E12)</f>
        <v>3</v>
      </c>
      <c r="F8" s="34">
        <f>F9</f>
        <v>24</v>
      </c>
      <c r="G8" s="34">
        <f>G10+G11+G12</f>
        <v>56</v>
      </c>
      <c r="H8" s="35">
        <f>SUM(H9:H12)</f>
        <v>80</v>
      </c>
      <c r="I8" s="35">
        <f>SUM(I9:I12)</f>
        <v>84</v>
      </c>
      <c r="J8" s="35">
        <f>SUM(J9:J12)</f>
        <v>296000</v>
      </c>
      <c r="K8" s="35">
        <f>SUM(K9:K12)</f>
        <v>76800</v>
      </c>
      <c r="L8" s="34">
        <f>L9+L10+L11+L12</f>
        <v>0</v>
      </c>
      <c r="M8" s="35">
        <f>SUM(M9:M12)</f>
        <v>372800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1</v>
      </c>
      <c r="E10" s="235">
        <f>D10</f>
        <v>1</v>
      </c>
      <c r="F10" s="235"/>
      <c r="G10" s="235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29</v>
      </c>
      <c r="D13" s="37">
        <f>D15+D16+D17+D18+D19</f>
        <v>35</v>
      </c>
      <c r="E13" s="37">
        <f>SUM(E14:E19)</f>
        <v>64</v>
      </c>
      <c r="F13" s="37">
        <f>F14</f>
        <v>435</v>
      </c>
      <c r="G13" s="37">
        <f>G15+G16+G17+G18+G19</f>
        <v>525</v>
      </c>
      <c r="H13" s="37">
        <f>SUM(H14:H19)</f>
        <v>960</v>
      </c>
      <c r="I13" s="37">
        <f>SUM(I14:I19)</f>
        <v>1024</v>
      </c>
      <c r="J13" s="37">
        <f>SUM(J14:J19)</f>
        <v>3276800</v>
      </c>
      <c r="K13" s="37">
        <f>SUM(K14:K19)</f>
        <v>1536000</v>
      </c>
      <c r="L13" s="47">
        <f>L14+L15+L16+L17+L18+L19</f>
        <v>0</v>
      </c>
      <c r="M13" s="38">
        <f>SUM(M14:M19)</f>
        <v>4812800</v>
      </c>
    </row>
    <row r="14" spans="1:13">
      <c r="A14" s="12"/>
      <c r="B14" s="1" t="s">
        <v>3</v>
      </c>
      <c r="C14" s="235">
        <v>29</v>
      </c>
      <c r="D14" s="235"/>
      <c r="E14" s="235">
        <f>C14</f>
        <v>29</v>
      </c>
      <c r="F14" s="235">
        <f>C14*15</f>
        <v>435</v>
      </c>
      <c r="G14" s="235"/>
      <c r="H14" s="30">
        <f>F14</f>
        <v>435</v>
      </c>
      <c r="I14" s="30">
        <f t="shared" ref="I14:I19" si="1">H14+E14</f>
        <v>464</v>
      </c>
      <c r="J14" s="30">
        <f t="shared" ref="J14:J19" si="2">3200*I14</f>
        <v>1484800</v>
      </c>
      <c r="K14" s="30">
        <f t="shared" si="0"/>
        <v>696000</v>
      </c>
      <c r="L14" s="46"/>
      <c r="M14" s="43">
        <f t="shared" ref="M14:M19" si="3">J14+K14</f>
        <v>2180800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20</v>
      </c>
      <c r="E16" s="235">
        <f>D16</f>
        <v>20</v>
      </c>
      <c r="F16" s="235"/>
      <c r="G16" s="235">
        <f>D16*15</f>
        <v>300</v>
      </c>
      <c r="H16" s="30">
        <f>G16</f>
        <v>300</v>
      </c>
      <c r="I16" s="30">
        <f t="shared" si="1"/>
        <v>320</v>
      </c>
      <c r="J16" s="30">
        <f t="shared" si="2"/>
        <v>1024000</v>
      </c>
      <c r="K16" s="30">
        <f t="shared" si="0"/>
        <v>480000</v>
      </c>
      <c r="L16" s="46"/>
      <c r="M16" s="43">
        <f t="shared" si="3"/>
        <v>1504000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2</v>
      </c>
      <c r="E19" s="235">
        <f>D19</f>
        <v>2</v>
      </c>
      <c r="F19" s="235"/>
      <c r="G19" s="235">
        <f>D19*15</f>
        <v>30</v>
      </c>
      <c r="H19" s="30">
        <f>G19</f>
        <v>30</v>
      </c>
      <c r="I19" s="30">
        <f t="shared" si="1"/>
        <v>32</v>
      </c>
      <c r="J19" s="30">
        <f t="shared" si="2"/>
        <v>102400</v>
      </c>
      <c r="K19" s="30">
        <f t="shared" si="0"/>
        <v>48000</v>
      </c>
      <c r="L19" s="46"/>
      <c r="M19" s="43">
        <f t="shared" si="3"/>
        <v>150400</v>
      </c>
    </row>
    <row r="20" spans="1:13">
      <c r="A20" s="36">
        <v>3</v>
      </c>
      <c r="B20" s="33" t="s">
        <v>22</v>
      </c>
      <c r="C20" s="37"/>
      <c r="D20" s="37">
        <f>D21</f>
        <v>76</v>
      </c>
      <c r="E20" s="37">
        <f>E21</f>
        <v>76</v>
      </c>
      <c r="F20" s="37"/>
      <c r="G20" s="37">
        <f t="shared" ref="G20:M20" si="4">G21</f>
        <v>1274</v>
      </c>
      <c r="H20" s="37">
        <f t="shared" si="4"/>
        <v>1274</v>
      </c>
      <c r="I20" s="37">
        <f t="shared" si="4"/>
        <v>1355</v>
      </c>
      <c r="J20" s="37">
        <f t="shared" si="4"/>
        <v>4336000</v>
      </c>
      <c r="K20" s="37">
        <f t="shared" si="4"/>
        <v>0</v>
      </c>
      <c r="L20" s="47">
        <f t="shared" si="4"/>
        <v>0</v>
      </c>
      <c r="M20" s="38">
        <f t="shared" si="4"/>
        <v>4336000</v>
      </c>
    </row>
    <row r="21" spans="1:13">
      <c r="A21" s="10"/>
      <c r="B21" s="24" t="s">
        <v>19</v>
      </c>
      <c r="C21" s="235"/>
      <c r="D21" s="235">
        <v>76</v>
      </c>
      <c r="E21" s="235">
        <f>D21</f>
        <v>76</v>
      </c>
      <c r="F21" s="235"/>
      <c r="G21" s="235">
        <f>E21*15+134</f>
        <v>1274</v>
      </c>
      <c r="H21" s="30">
        <f>G20</f>
        <v>1274</v>
      </c>
      <c r="I21" s="30">
        <f>H21+E21+5</f>
        <v>1355</v>
      </c>
      <c r="J21" s="30">
        <f>3200*I21</f>
        <v>4336000</v>
      </c>
      <c r="K21" s="30"/>
      <c r="L21" s="46"/>
      <c r="M21" s="43">
        <f>J21+K21</f>
        <v>4336000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5</v>
      </c>
      <c r="E28" s="37">
        <f>E29+E30</f>
        <v>9</v>
      </c>
      <c r="F28" s="37">
        <f>F29</f>
        <v>100</v>
      </c>
      <c r="G28" s="37">
        <f>G30</f>
        <v>128</v>
      </c>
      <c r="H28" s="38">
        <f t="shared" ref="H28:M28" si="8">H29+H30</f>
        <v>228</v>
      </c>
      <c r="I28" s="38">
        <f t="shared" si="8"/>
        <v>237</v>
      </c>
      <c r="J28" s="38">
        <f t="shared" si="8"/>
        <v>758400</v>
      </c>
      <c r="K28" s="38">
        <f t="shared" si="8"/>
        <v>364800</v>
      </c>
      <c r="L28" s="48">
        <f t="shared" si="8"/>
        <v>0</v>
      </c>
      <c r="M28" s="216">
        <f t="shared" si="8"/>
        <v>1123200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100</v>
      </c>
      <c r="G29" s="235"/>
      <c r="H29" s="30">
        <f>F29</f>
        <v>100</v>
      </c>
      <c r="I29" s="30">
        <f>H29+E29</f>
        <v>104</v>
      </c>
      <c r="J29" s="30">
        <f>3200*I29</f>
        <v>332800</v>
      </c>
      <c r="K29" s="30">
        <f>1600*H29</f>
        <v>160000</v>
      </c>
      <c r="L29" s="46"/>
      <c r="M29" s="43">
        <f>J29+K29</f>
        <v>492800</v>
      </c>
    </row>
    <row r="30" spans="1:13">
      <c r="A30" s="12"/>
      <c r="B30" s="1" t="s">
        <v>11</v>
      </c>
      <c r="C30" s="235"/>
      <c r="D30" s="235">
        <v>5</v>
      </c>
      <c r="E30" s="235">
        <f>D30</f>
        <v>5</v>
      </c>
      <c r="F30" s="235"/>
      <c r="G30" s="30">
        <v>128</v>
      </c>
      <c r="H30" s="30">
        <f>G30</f>
        <v>128</v>
      </c>
      <c r="I30" s="30">
        <f>H30+E30</f>
        <v>133</v>
      </c>
      <c r="J30" s="30">
        <f>3200*I30</f>
        <v>425600</v>
      </c>
      <c r="K30" s="30">
        <f>1600*H30</f>
        <v>204800</v>
      </c>
      <c r="L30" s="46"/>
      <c r="M30" s="43">
        <f>J30+K30+M62</f>
        <v>630400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24</v>
      </c>
      <c r="E31" s="37">
        <f t="shared" si="9"/>
        <v>24</v>
      </c>
      <c r="F31" s="37">
        <f t="shared" si="9"/>
        <v>0</v>
      </c>
      <c r="G31" s="37">
        <f t="shared" si="9"/>
        <v>360</v>
      </c>
      <c r="H31" s="37">
        <f t="shared" si="9"/>
        <v>360</v>
      </c>
      <c r="I31" s="37">
        <f t="shared" si="9"/>
        <v>384</v>
      </c>
      <c r="J31" s="37">
        <f t="shared" si="9"/>
        <v>1228800</v>
      </c>
      <c r="K31" s="37">
        <f t="shared" si="9"/>
        <v>0</v>
      </c>
      <c r="L31" s="37">
        <f t="shared" si="9"/>
        <v>0</v>
      </c>
      <c r="M31" s="38">
        <f t="shared" si="9"/>
        <v>1228800</v>
      </c>
    </row>
    <row r="32" spans="1:13">
      <c r="A32" s="10"/>
      <c r="B32" s="24" t="s">
        <v>19</v>
      </c>
      <c r="C32" s="235"/>
      <c r="D32" s="235">
        <v>24</v>
      </c>
      <c r="E32" s="235">
        <f>D32</f>
        <v>24</v>
      </c>
      <c r="F32" s="235"/>
      <c r="G32" s="235">
        <f>E32*15</f>
        <v>360</v>
      </c>
      <c r="H32" s="30">
        <f>G32</f>
        <v>360</v>
      </c>
      <c r="I32" s="30">
        <f>H32+E32</f>
        <v>384</v>
      </c>
      <c r="J32" s="30">
        <f>3200*I32</f>
        <v>1228800</v>
      </c>
      <c r="K32" s="30"/>
      <c r="L32" s="46"/>
      <c r="M32" s="43">
        <f>J32+K32</f>
        <v>1228800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158</v>
      </c>
      <c r="G33" s="37">
        <f>G35+G36</f>
        <v>285</v>
      </c>
      <c r="H33" s="38">
        <f t="shared" ref="H33:M33" si="10">H34+H35+H36</f>
        <v>443</v>
      </c>
      <c r="I33" s="38">
        <f t="shared" si="10"/>
        <v>460</v>
      </c>
      <c r="J33" s="35">
        <f t="shared" si="10"/>
        <v>1523200</v>
      </c>
      <c r="K33" s="35">
        <f t="shared" si="10"/>
        <v>611200</v>
      </c>
      <c r="L33" s="47">
        <f t="shared" si="10"/>
        <v>0</v>
      </c>
      <c r="M33" s="216">
        <f t="shared" si="10"/>
        <v>2134400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158</v>
      </c>
      <c r="G34" s="235"/>
      <c r="H34" s="30">
        <f>F34</f>
        <v>158</v>
      </c>
      <c r="I34" s="30">
        <f>H34+E34</f>
        <v>164</v>
      </c>
      <c r="J34" s="30">
        <f>3200*I34</f>
        <v>524800</v>
      </c>
      <c r="K34" s="30">
        <f>1600*H34</f>
        <v>252800</v>
      </c>
      <c r="L34" s="46"/>
      <c r="M34" s="43">
        <f>J34+K34</f>
        <v>777600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224</v>
      </c>
      <c r="H35" s="30">
        <f>G35</f>
        <v>224</v>
      </c>
      <c r="I35" s="30">
        <f>H35+E35</f>
        <v>232</v>
      </c>
      <c r="J35" s="30">
        <f>3200*I35</f>
        <v>742400</v>
      </c>
      <c r="K35" s="30">
        <f>1600*H35</f>
        <v>358400</v>
      </c>
      <c r="L35" s="46"/>
      <c r="M35" s="43">
        <f>J35+K35+M63</f>
        <v>1100800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24</v>
      </c>
      <c r="E37" s="37">
        <f>E38</f>
        <v>24</v>
      </c>
      <c r="F37" s="37"/>
      <c r="G37" s="37">
        <f t="shared" ref="G37:M37" si="11">G38</f>
        <v>360</v>
      </c>
      <c r="H37" s="38">
        <f t="shared" si="11"/>
        <v>360</v>
      </c>
      <c r="I37" s="38">
        <f t="shared" si="11"/>
        <v>384</v>
      </c>
      <c r="J37" s="38">
        <f t="shared" si="11"/>
        <v>1536000</v>
      </c>
      <c r="K37" s="38">
        <f t="shared" si="11"/>
        <v>0</v>
      </c>
      <c r="L37" s="48">
        <f t="shared" si="11"/>
        <v>0</v>
      </c>
      <c r="M37" s="216">
        <f t="shared" si="11"/>
        <v>1536000</v>
      </c>
    </row>
    <row r="38" spans="1:13">
      <c r="A38" s="13"/>
      <c r="B38" s="96" t="s">
        <v>128</v>
      </c>
      <c r="C38" s="235"/>
      <c r="D38" s="235">
        <v>24</v>
      </c>
      <c r="E38" s="235">
        <f>D38</f>
        <v>24</v>
      </c>
      <c r="F38" s="235"/>
      <c r="G38" s="235">
        <f>E38*15</f>
        <v>360</v>
      </c>
      <c r="H38" s="30">
        <f>G38</f>
        <v>360</v>
      </c>
      <c r="I38" s="30">
        <f>H38+E38</f>
        <v>384</v>
      </c>
      <c r="J38" s="30">
        <f>4000*I38</f>
        <v>1536000</v>
      </c>
      <c r="K38" s="30"/>
      <c r="L38" s="46"/>
      <c r="M38" s="43">
        <f>J38+K38</f>
        <v>1536000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75</v>
      </c>
      <c r="H49" s="37">
        <f t="shared" si="16"/>
        <v>75</v>
      </c>
      <c r="I49" s="37">
        <f t="shared" si="16"/>
        <v>80</v>
      </c>
      <c r="J49" s="37">
        <f t="shared" si="16"/>
        <v>307200</v>
      </c>
      <c r="K49" s="37">
        <f t="shared" si="16"/>
        <v>24000</v>
      </c>
      <c r="L49" s="37">
        <f t="shared" si="16"/>
        <v>0</v>
      </c>
      <c r="M49" s="219">
        <f t="shared" si="16"/>
        <v>331200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f>E51*15</f>
        <v>60</v>
      </c>
      <c r="H51" s="30">
        <f>G51</f>
        <v>60</v>
      </c>
      <c r="I51" s="30">
        <f>H51+E51</f>
        <v>64</v>
      </c>
      <c r="J51" s="30">
        <f>4000*I51</f>
        <v>256000</v>
      </c>
      <c r="K51" s="30"/>
      <c r="L51" s="46"/>
      <c r="M51" s="43">
        <f>J51+K51+(L51*15000)</f>
        <v>256000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1</v>
      </c>
      <c r="E52" s="37">
        <f t="shared" si="17"/>
        <v>1</v>
      </c>
      <c r="F52" s="37">
        <f t="shared" si="17"/>
        <v>0</v>
      </c>
      <c r="G52" s="37">
        <f t="shared" si="17"/>
        <v>44</v>
      </c>
      <c r="H52" s="37">
        <f t="shared" si="17"/>
        <v>44</v>
      </c>
      <c r="I52" s="38">
        <f t="shared" si="17"/>
        <v>46</v>
      </c>
      <c r="J52" s="38">
        <f t="shared" si="17"/>
        <v>257140</v>
      </c>
      <c r="K52" s="38">
        <f t="shared" si="17"/>
        <v>140800</v>
      </c>
      <c r="L52" s="48">
        <f t="shared" si="17"/>
        <v>0</v>
      </c>
      <c r="M52" s="44">
        <f t="shared" si="17"/>
        <v>397940</v>
      </c>
    </row>
    <row r="53" spans="1:13">
      <c r="A53" s="14"/>
      <c r="B53" s="96" t="s">
        <v>215</v>
      </c>
      <c r="C53" s="29"/>
      <c r="D53" s="29">
        <v>1</v>
      </c>
      <c r="E53" s="29">
        <f>D53</f>
        <v>1</v>
      </c>
      <c r="F53" s="29"/>
      <c r="G53" s="29">
        <v>44</v>
      </c>
      <c r="H53" s="31">
        <f>G53</f>
        <v>44</v>
      </c>
      <c r="I53" s="31">
        <f>H53+E53*2</f>
        <v>46</v>
      </c>
      <c r="J53" s="30">
        <f>5590*I53</f>
        <v>257140</v>
      </c>
      <c r="K53" s="30">
        <f>3200*H53</f>
        <v>140800</v>
      </c>
      <c r="L53" s="49"/>
      <c r="M53" s="43">
        <f>J53+K53</f>
        <v>397940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40</v>
      </c>
      <c r="H58" s="170">
        <f>H59</f>
        <v>40</v>
      </c>
      <c r="I58" s="170">
        <f>I59</f>
        <v>42</v>
      </c>
      <c r="J58" s="170">
        <f>J59</f>
        <v>234780</v>
      </c>
      <c r="K58" s="170">
        <f>K59</f>
        <v>128000</v>
      </c>
      <c r="L58" s="81">
        <f>L59+L63</f>
        <v>0</v>
      </c>
      <c r="M58" s="217">
        <f>M59</f>
        <v>362780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40</v>
      </c>
      <c r="H59" s="31">
        <f>G59</f>
        <v>40</v>
      </c>
      <c r="I59" s="31">
        <f>H59+E59*2</f>
        <v>42</v>
      </c>
      <c r="J59" s="79">
        <f>5590*I59</f>
        <v>234780</v>
      </c>
      <c r="K59" s="31">
        <f>3200*H59</f>
        <v>128000</v>
      </c>
      <c r="L59" s="49"/>
      <c r="M59" s="80">
        <f>J59+K59</f>
        <v>362780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40</v>
      </c>
      <c r="D64" s="42">
        <f>D8+D13+D20+D22+D24+D26+D28+D31+D33+D37+D39+D44+D47+D49+D52+D54+D56+D58</f>
        <v>190</v>
      </c>
      <c r="E64" s="42">
        <f>E8+E13+E20+E22+E24+E26+E28+E31+E33+E37+E39+E44+E47+E49+E52+E54+E56+E58+E60</f>
        <v>230</v>
      </c>
      <c r="F64" s="42">
        <f>F8+F13+F28+F33+F60</f>
        <v>717</v>
      </c>
      <c r="G64" s="42">
        <f>G8+G13+G20+G22+G24+G26+G28+G31+G33+G37+G39+G44+G47+G49+G52+G54+G56+G58</f>
        <v>3393</v>
      </c>
      <c r="H64" s="42">
        <f>H8+H13+H20+H22+H24+H26+H28+H31+H33+H37+H39+H44+H47+H49+H52+H54+H56+H58+H60</f>
        <v>4110</v>
      </c>
      <c r="I64" s="42">
        <f>I8+I13+I20+I22+I24+I26+I28+I31+I33+I37+I39+I44+I47+I49+I52+I54+I56+I58+I60</f>
        <v>4354</v>
      </c>
      <c r="J64" s="42">
        <f>J8+J13+J20+J22+J24+J26+J28+J31+J33+J37+J39+J44+J47+J49+J52+J54+J56+J58</f>
        <v>14963280</v>
      </c>
      <c r="K64" s="42">
        <f>K8+K13+K20+K22+K24+K26+K28+K31+K33+K37+K39+K44+K47+K49+K52+K54+K56+K58</f>
        <v>3259000</v>
      </c>
      <c r="L64" s="50"/>
      <c r="M64" s="42">
        <f>M8+M13+M20+M22+M24+M26+M28+M31+M33+M37+M39+M44+M47+M49+M52+M54+M56+M58+M60+M65+M66</f>
        <v>18307280</v>
      </c>
    </row>
    <row r="65" spans="2:13" ht="14.25" thickTop="1" thickBot="1">
      <c r="D65" s="337"/>
      <c r="E65" s="337"/>
      <c r="J65" s="115"/>
      <c r="K65" s="149" t="s">
        <v>96</v>
      </c>
      <c r="L65" s="147">
        <v>2</v>
      </c>
      <c r="M65" s="149">
        <f>20000*L65</f>
        <v>40000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>
        <v>0</v>
      </c>
      <c r="G67" s="145">
        <v>14</v>
      </c>
      <c r="H67" s="119"/>
      <c r="K67" s="97" t="s">
        <v>32</v>
      </c>
      <c r="L67" s="234">
        <f>L65+L66</f>
        <v>5</v>
      </c>
    </row>
    <row r="68" spans="2:13" ht="13.5" thickBot="1">
      <c r="B68" s="120" t="s">
        <v>75</v>
      </c>
      <c r="C68" s="131">
        <f t="shared" ref="C68:C74" si="20">F68+G68</f>
        <v>8</v>
      </c>
      <c r="D68" s="342">
        <f>C68*30000</f>
        <v>240000</v>
      </c>
      <c r="E68" s="343"/>
      <c r="F68" s="122">
        <v>3</v>
      </c>
      <c r="G68" s="139">
        <v>5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23</v>
      </c>
      <c r="D69" s="329">
        <f>C69*35000</f>
        <v>805000</v>
      </c>
      <c r="E69" s="330"/>
      <c r="F69" s="121">
        <v>4</v>
      </c>
      <c r="G69" s="138">
        <v>19</v>
      </c>
      <c r="H69" s="135"/>
      <c r="I69" s="98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18</v>
      </c>
      <c r="D70" s="329">
        <f>C70*20000</f>
        <v>360000</v>
      </c>
      <c r="E70" s="330"/>
      <c r="F70" s="121">
        <v>5</v>
      </c>
      <c r="G70" s="138">
        <v>13</v>
      </c>
      <c r="H70" s="135"/>
      <c r="I70" s="97"/>
      <c r="K70" s="109" t="s">
        <v>132</v>
      </c>
      <c r="L70" s="163">
        <f>C77</f>
        <v>54</v>
      </c>
      <c r="M70" s="110">
        <f>D77</f>
        <v>1755000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157</v>
      </c>
      <c r="M71" s="112">
        <f>D78+D79</f>
        <v>1955000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50</v>
      </c>
      <c r="M72" s="114">
        <f>L72*20000</f>
        <v>1000000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55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54</v>
      </c>
      <c r="D77" s="344">
        <f>SUM(D67:E76)</f>
        <v>1755000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46</v>
      </c>
      <c r="D78" s="346">
        <v>545000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111</v>
      </c>
      <c r="D79" s="348">
        <v>1410000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E3" sqref="E3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6</v>
      </c>
      <c r="E8" s="34">
        <f>SUM(E9:E12)</f>
        <v>7</v>
      </c>
      <c r="F8" s="34">
        <f>F9</f>
        <v>24</v>
      </c>
      <c r="G8" s="34">
        <f>G10+G11+G12</f>
        <v>168</v>
      </c>
      <c r="H8" s="35">
        <f>SUM(H9:H12)</f>
        <v>192</v>
      </c>
      <c r="I8" s="35">
        <f>SUM(I9:I12)</f>
        <v>200</v>
      </c>
      <c r="J8" s="35">
        <f>SUM(J9:J12)</f>
        <v>667200</v>
      </c>
      <c r="K8" s="35">
        <f>SUM(K9:K12)</f>
        <v>256000</v>
      </c>
      <c r="L8" s="34">
        <f>L9+L10+L11+L12</f>
        <v>0</v>
      </c>
      <c r="M8" s="35">
        <f>SUM(M9:M12)</f>
        <v>923200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5</v>
      </c>
      <c r="E10" s="235">
        <f>D10</f>
        <v>5</v>
      </c>
      <c r="F10" s="235"/>
      <c r="G10" s="235">
        <v>136</v>
      </c>
      <c r="H10" s="30">
        <f>G10</f>
        <v>136</v>
      </c>
      <c r="I10" s="30">
        <f>H10+E10</f>
        <v>141</v>
      </c>
      <c r="J10" s="30">
        <f>3200*I10</f>
        <v>451200</v>
      </c>
      <c r="K10" s="30">
        <f t="shared" ref="K10:K19" si="0">1600*H10</f>
        <v>217600</v>
      </c>
      <c r="L10" s="46"/>
      <c r="M10" s="43">
        <f>J10+K10</f>
        <v>668800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27</v>
      </c>
      <c r="D13" s="37">
        <f>D15+D16+D17+D18+D19</f>
        <v>36</v>
      </c>
      <c r="E13" s="37">
        <f>SUM(E14:E19)</f>
        <v>63</v>
      </c>
      <c r="F13" s="37">
        <f>F14</f>
        <v>405</v>
      </c>
      <c r="G13" s="37">
        <f>G15+G16+G17+G18+G19</f>
        <v>540</v>
      </c>
      <c r="H13" s="37">
        <f>SUM(H14:H19)</f>
        <v>945</v>
      </c>
      <c r="I13" s="37">
        <f>SUM(I14:I19)</f>
        <v>1008</v>
      </c>
      <c r="J13" s="37">
        <f>SUM(J14:J19)</f>
        <v>3225600</v>
      </c>
      <c r="K13" s="37">
        <f>SUM(K14:K19)</f>
        <v>1512000</v>
      </c>
      <c r="L13" s="47">
        <f>L14+L15+L16+L17+L18+L19</f>
        <v>0</v>
      </c>
      <c r="M13" s="38">
        <f>SUM(M14:M19)</f>
        <v>4737600</v>
      </c>
    </row>
    <row r="14" spans="1:13">
      <c r="A14" s="12"/>
      <c r="B14" s="1" t="s">
        <v>3</v>
      </c>
      <c r="C14" s="235">
        <v>27</v>
      </c>
      <c r="D14" s="235"/>
      <c r="E14" s="235">
        <f>C14</f>
        <v>27</v>
      </c>
      <c r="F14" s="235">
        <f>C14*15</f>
        <v>405</v>
      </c>
      <c r="G14" s="235"/>
      <c r="H14" s="30">
        <f>F14</f>
        <v>405</v>
      </c>
      <c r="I14" s="30">
        <f t="shared" ref="I14:I19" si="1">H14+E14</f>
        <v>432</v>
      </c>
      <c r="J14" s="30">
        <f t="shared" ref="J14:J19" si="2">3200*I14</f>
        <v>1382400</v>
      </c>
      <c r="K14" s="30">
        <f t="shared" si="0"/>
        <v>648000</v>
      </c>
      <c r="L14" s="46"/>
      <c r="M14" s="43">
        <f t="shared" ref="M14:M19" si="3">J14+K14</f>
        <v>2030400</v>
      </c>
    </row>
    <row r="15" spans="1:13">
      <c r="A15" s="12"/>
      <c r="B15" s="1" t="s">
        <v>6</v>
      </c>
      <c r="C15" s="235"/>
      <c r="D15" s="235">
        <v>14</v>
      </c>
      <c r="E15" s="235">
        <f>D15</f>
        <v>14</v>
      </c>
      <c r="F15" s="235"/>
      <c r="G15" s="235">
        <f>D15*15</f>
        <v>210</v>
      </c>
      <c r="H15" s="30">
        <f>G15</f>
        <v>210</v>
      </c>
      <c r="I15" s="30">
        <f t="shared" si="1"/>
        <v>224</v>
      </c>
      <c r="J15" s="30">
        <f t="shared" si="2"/>
        <v>716800</v>
      </c>
      <c r="K15" s="30">
        <f t="shared" si="0"/>
        <v>336000</v>
      </c>
      <c r="L15" s="46"/>
      <c r="M15" s="43">
        <f t="shared" si="3"/>
        <v>1052800</v>
      </c>
    </row>
    <row r="16" spans="1:13">
      <c r="A16" s="12"/>
      <c r="B16" s="1" t="s">
        <v>5</v>
      </c>
      <c r="C16" s="235"/>
      <c r="D16" s="235">
        <v>18</v>
      </c>
      <c r="E16" s="235">
        <f>D16</f>
        <v>18</v>
      </c>
      <c r="F16" s="235"/>
      <c r="G16" s="235">
        <f>D16*15</f>
        <v>270</v>
      </c>
      <c r="H16" s="30">
        <f>G16</f>
        <v>270</v>
      </c>
      <c r="I16" s="30">
        <f t="shared" si="1"/>
        <v>288</v>
      </c>
      <c r="J16" s="30">
        <f t="shared" si="2"/>
        <v>921600</v>
      </c>
      <c r="K16" s="30">
        <f t="shared" si="0"/>
        <v>432000</v>
      </c>
      <c r="L16" s="46"/>
      <c r="M16" s="43">
        <f t="shared" si="3"/>
        <v>1353600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2</v>
      </c>
      <c r="E19" s="235">
        <f>D19</f>
        <v>2</v>
      </c>
      <c r="F19" s="235"/>
      <c r="G19" s="235">
        <f>D19*15</f>
        <v>30</v>
      </c>
      <c r="H19" s="30">
        <f>G19</f>
        <v>30</v>
      </c>
      <c r="I19" s="30">
        <f t="shared" si="1"/>
        <v>32</v>
      </c>
      <c r="J19" s="30">
        <f t="shared" si="2"/>
        <v>102400</v>
      </c>
      <c r="K19" s="30">
        <f t="shared" si="0"/>
        <v>48000</v>
      </c>
      <c r="L19" s="46"/>
      <c r="M19" s="43">
        <f t="shared" si="3"/>
        <v>150400</v>
      </c>
    </row>
    <row r="20" spans="1:13">
      <c r="A20" s="36">
        <v>3</v>
      </c>
      <c r="B20" s="33" t="s">
        <v>22</v>
      </c>
      <c r="C20" s="37"/>
      <c r="D20" s="37">
        <f>D21</f>
        <v>99</v>
      </c>
      <c r="E20" s="37">
        <f>E21</f>
        <v>99</v>
      </c>
      <c r="F20" s="37"/>
      <c r="G20" s="37">
        <f t="shared" ref="G20:M20" si="4">G21</f>
        <v>1769</v>
      </c>
      <c r="H20" s="37">
        <f t="shared" si="4"/>
        <v>1769</v>
      </c>
      <c r="I20" s="37">
        <f t="shared" si="4"/>
        <v>1878</v>
      </c>
      <c r="J20" s="37">
        <f t="shared" si="4"/>
        <v>6009600</v>
      </c>
      <c r="K20" s="37">
        <f t="shared" si="4"/>
        <v>0</v>
      </c>
      <c r="L20" s="47">
        <f t="shared" si="4"/>
        <v>0</v>
      </c>
      <c r="M20" s="38">
        <f t="shared" si="4"/>
        <v>6009600</v>
      </c>
    </row>
    <row r="21" spans="1:13">
      <c r="A21" s="10"/>
      <c r="B21" s="24" t="s">
        <v>19</v>
      </c>
      <c r="C21" s="235"/>
      <c r="D21" s="235">
        <v>99</v>
      </c>
      <c r="E21" s="235">
        <f>D21</f>
        <v>99</v>
      </c>
      <c r="F21" s="235"/>
      <c r="G21" s="235">
        <v>1769</v>
      </c>
      <c r="H21" s="30">
        <f>G20</f>
        <v>1769</v>
      </c>
      <c r="I21" s="30">
        <v>1878</v>
      </c>
      <c r="J21" s="30">
        <f>3200*I21</f>
        <v>6009600</v>
      </c>
      <c r="K21" s="30"/>
      <c r="L21" s="46"/>
      <c r="M21" s="43">
        <f>J21+K21</f>
        <v>6009600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5</v>
      </c>
      <c r="E28" s="37">
        <f>E29+E30</f>
        <v>9</v>
      </c>
      <c r="F28" s="37">
        <f>F29</f>
        <v>92</v>
      </c>
      <c r="G28" s="37">
        <f>G30</f>
        <v>120</v>
      </c>
      <c r="H28" s="38">
        <f t="shared" ref="H28:M28" si="8">H29+H30</f>
        <v>212</v>
      </c>
      <c r="I28" s="38">
        <f t="shared" si="8"/>
        <v>221</v>
      </c>
      <c r="J28" s="38">
        <f t="shared" si="8"/>
        <v>707200</v>
      </c>
      <c r="K28" s="38">
        <f t="shared" si="8"/>
        <v>339200</v>
      </c>
      <c r="L28" s="48">
        <f t="shared" si="8"/>
        <v>0</v>
      </c>
      <c r="M28" s="216">
        <f t="shared" si="8"/>
        <v>1046400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92</v>
      </c>
      <c r="G29" s="235"/>
      <c r="H29" s="30">
        <f>F29</f>
        <v>92</v>
      </c>
      <c r="I29" s="30">
        <f>H29+E29</f>
        <v>96</v>
      </c>
      <c r="J29" s="30">
        <f>3200*I29</f>
        <v>307200</v>
      </c>
      <c r="K29" s="30">
        <f>1600*H29</f>
        <v>147200</v>
      </c>
      <c r="L29" s="46"/>
      <c r="M29" s="43">
        <f>J29+K29</f>
        <v>454400</v>
      </c>
    </row>
    <row r="30" spans="1:13">
      <c r="A30" s="12"/>
      <c r="B30" s="1" t="s">
        <v>11</v>
      </c>
      <c r="C30" s="235"/>
      <c r="D30" s="235">
        <v>5</v>
      </c>
      <c r="E30" s="235">
        <f>D30</f>
        <v>5</v>
      </c>
      <c r="F30" s="235"/>
      <c r="G30" s="30">
        <v>120</v>
      </c>
      <c r="H30" s="30">
        <f>G30</f>
        <v>120</v>
      </c>
      <c r="I30" s="30">
        <f>H30+E30</f>
        <v>125</v>
      </c>
      <c r="J30" s="30">
        <f>3200*I30</f>
        <v>400000</v>
      </c>
      <c r="K30" s="30">
        <f>1600*H30</f>
        <v>192000</v>
      </c>
      <c r="L30" s="46"/>
      <c r="M30" s="43">
        <f>J30+K30+M62</f>
        <v>592000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28</v>
      </c>
      <c r="E31" s="37">
        <f t="shared" si="9"/>
        <v>28</v>
      </c>
      <c r="F31" s="37">
        <f t="shared" si="9"/>
        <v>0</v>
      </c>
      <c r="G31" s="37">
        <f t="shared" si="9"/>
        <v>420</v>
      </c>
      <c r="H31" s="37">
        <f t="shared" si="9"/>
        <v>420</v>
      </c>
      <c r="I31" s="37">
        <f t="shared" si="9"/>
        <v>448</v>
      </c>
      <c r="J31" s="37">
        <f t="shared" si="9"/>
        <v>1433600</v>
      </c>
      <c r="K31" s="37">
        <f t="shared" si="9"/>
        <v>0</v>
      </c>
      <c r="L31" s="37">
        <f t="shared" si="9"/>
        <v>0</v>
      </c>
      <c r="M31" s="38">
        <f t="shared" si="9"/>
        <v>1433600</v>
      </c>
    </row>
    <row r="32" spans="1:13">
      <c r="A32" s="10"/>
      <c r="B32" s="24" t="s">
        <v>19</v>
      </c>
      <c r="C32" s="235"/>
      <c r="D32" s="235">
        <v>28</v>
      </c>
      <c r="E32" s="235">
        <f>D32</f>
        <v>28</v>
      </c>
      <c r="F32" s="235"/>
      <c r="G32" s="235">
        <f>E32*15</f>
        <v>420</v>
      </c>
      <c r="H32" s="30">
        <f>G32</f>
        <v>420</v>
      </c>
      <c r="I32" s="30">
        <f>H32+E32</f>
        <v>448</v>
      </c>
      <c r="J32" s="30">
        <f>3200*I32</f>
        <v>1433600</v>
      </c>
      <c r="K32" s="30"/>
      <c r="L32" s="46"/>
      <c r="M32" s="43">
        <f>J32+K32</f>
        <v>1433600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160</v>
      </c>
      <c r="G33" s="37">
        <f>G35+G36</f>
        <v>285</v>
      </c>
      <c r="H33" s="38">
        <f t="shared" ref="H33:M33" si="10">H34+H35+H36</f>
        <v>445</v>
      </c>
      <c r="I33" s="38">
        <f t="shared" si="10"/>
        <v>462</v>
      </c>
      <c r="J33" s="35">
        <f t="shared" si="10"/>
        <v>1529600</v>
      </c>
      <c r="K33" s="35">
        <f t="shared" si="10"/>
        <v>614400</v>
      </c>
      <c r="L33" s="47">
        <f t="shared" si="10"/>
        <v>0</v>
      </c>
      <c r="M33" s="216">
        <f t="shared" si="10"/>
        <v>2144000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160</v>
      </c>
      <c r="G34" s="235"/>
      <c r="H34" s="30">
        <f>F34</f>
        <v>160</v>
      </c>
      <c r="I34" s="30">
        <f>H34+E34</f>
        <v>166</v>
      </c>
      <c r="J34" s="30">
        <f>3200*I34</f>
        <v>531200</v>
      </c>
      <c r="K34" s="30">
        <f>1600*H34</f>
        <v>256000</v>
      </c>
      <c r="L34" s="46"/>
      <c r="M34" s="43">
        <f>J34+K34</f>
        <v>787200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224</v>
      </c>
      <c r="H35" s="30">
        <f>G35</f>
        <v>224</v>
      </c>
      <c r="I35" s="30">
        <f>H35+E35</f>
        <v>232</v>
      </c>
      <c r="J35" s="30">
        <f>3200*I35</f>
        <v>742400</v>
      </c>
      <c r="K35" s="30">
        <f>1600*H35</f>
        <v>358400</v>
      </c>
      <c r="L35" s="46"/>
      <c r="M35" s="43">
        <f>J35+K35+M63</f>
        <v>1100800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25</v>
      </c>
      <c r="E37" s="37">
        <f>E38</f>
        <v>25</v>
      </c>
      <c r="F37" s="37"/>
      <c r="G37" s="37">
        <f t="shared" ref="G37:M37" si="11">G38</f>
        <v>375</v>
      </c>
      <c r="H37" s="38">
        <f t="shared" si="11"/>
        <v>375</v>
      </c>
      <c r="I37" s="38">
        <f t="shared" si="11"/>
        <v>400</v>
      </c>
      <c r="J37" s="38">
        <f t="shared" si="11"/>
        <v>1600000</v>
      </c>
      <c r="K37" s="38">
        <f t="shared" si="11"/>
        <v>0</v>
      </c>
      <c r="L37" s="48">
        <f t="shared" si="11"/>
        <v>0</v>
      </c>
      <c r="M37" s="216">
        <f t="shared" si="11"/>
        <v>1600000</v>
      </c>
    </row>
    <row r="38" spans="1:13">
      <c r="A38" s="13"/>
      <c r="B38" s="96" t="s">
        <v>128</v>
      </c>
      <c r="C38" s="235"/>
      <c r="D38" s="235">
        <v>25</v>
      </c>
      <c r="E38" s="235">
        <f>D38</f>
        <v>25</v>
      </c>
      <c r="F38" s="235"/>
      <c r="G38" s="235">
        <f>E38*15</f>
        <v>375</v>
      </c>
      <c r="H38" s="30">
        <f>G38</f>
        <v>375</v>
      </c>
      <c r="I38" s="30">
        <f>H38+E38</f>
        <v>400</v>
      </c>
      <c r="J38" s="30">
        <f>4000*I38</f>
        <v>1600000</v>
      </c>
      <c r="K38" s="30"/>
      <c r="L38" s="46"/>
      <c r="M38" s="43">
        <f>J38+K38</f>
        <v>1600000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101</v>
      </c>
      <c r="H49" s="37">
        <f t="shared" si="16"/>
        <v>101</v>
      </c>
      <c r="I49" s="37">
        <f t="shared" si="16"/>
        <v>106</v>
      </c>
      <c r="J49" s="37">
        <f t="shared" si="16"/>
        <v>400800</v>
      </c>
      <c r="K49" s="37">
        <f t="shared" si="16"/>
        <v>44800</v>
      </c>
      <c r="L49" s="37">
        <f t="shared" si="16"/>
        <v>0</v>
      </c>
      <c r="M49" s="219">
        <f t="shared" si="16"/>
        <v>445600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0</v>
      </c>
      <c r="E58" s="81">
        <f>E59</f>
        <v>0</v>
      </c>
      <c r="F58" s="81"/>
      <c r="G58" s="81">
        <f>G59</f>
        <v>0</v>
      </c>
      <c r="H58" s="170">
        <f>H59</f>
        <v>0</v>
      </c>
      <c r="I58" s="170">
        <f>I59</f>
        <v>0</v>
      </c>
      <c r="J58" s="170">
        <f>J59</f>
        <v>0</v>
      </c>
      <c r="K58" s="170">
        <f>K59</f>
        <v>0</v>
      </c>
      <c r="L58" s="81">
        <f>L59+L63</f>
        <v>0</v>
      </c>
      <c r="M58" s="217">
        <f>M59</f>
        <v>0</v>
      </c>
    </row>
    <row r="59" spans="1:13">
      <c r="A59" s="14"/>
      <c r="B59" s="236" t="s">
        <v>234</v>
      </c>
      <c r="C59" s="29"/>
      <c r="D59" s="29">
        <v>0</v>
      </c>
      <c r="E59" s="29">
        <f>D58</f>
        <v>0</v>
      </c>
      <c r="F59" s="29"/>
      <c r="G59" s="29">
        <v>0</v>
      </c>
      <c r="H59" s="31">
        <f>G59</f>
        <v>0</v>
      </c>
      <c r="I59" s="31">
        <f>H59+E59*2</f>
        <v>0</v>
      </c>
      <c r="J59" s="79">
        <f>4300*I59</f>
        <v>0</v>
      </c>
      <c r="K59" s="31">
        <f>2500*H59</f>
        <v>0</v>
      </c>
      <c r="L59" s="49"/>
      <c r="M59" s="80">
        <f>J59+K59</f>
        <v>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38</v>
      </c>
      <c r="D64" s="42">
        <f>D8+D13+D20+D22+D24+D26+D28+D31+D33+D37+D39+D44+D47+D49+D52+D54+D56+D58</f>
        <v>222</v>
      </c>
      <c r="E64" s="42">
        <f>E8+E13+E20+E22+E24+E26+E28+E31+E33+E37+E39+E44+E47+E49+E52+E54+E56+E58+E60</f>
        <v>260</v>
      </c>
      <c r="F64" s="42">
        <f>F8+F13+F28+F33+F60</f>
        <v>681</v>
      </c>
      <c r="G64" s="42">
        <f>G8+G13+G20+G22+G24+G26+G28+G31+G33+G37+G39+G44+G47+G49+G52+G54+G56+G58</f>
        <v>4042</v>
      </c>
      <c r="H64" s="42">
        <f>H8+H13+H20+H22+H24+H26+H28+H31+H33+H37+H39+H44+H47+H49+H52+H54+H56+H58+H60</f>
        <v>4723</v>
      </c>
      <c r="I64" s="42">
        <f>I8+I13+I20+I22+I24+I26+I28+I31+I33+I37+I39+I44+I47+I49+I52+I54+I56+I58+I60</f>
        <v>4999</v>
      </c>
      <c r="J64" s="42">
        <f>J8+J13+J20+J22+J24+J26+J28+J31+J33+J37+J39+J44+J47+J49+J52+J54+J56+J58</f>
        <v>16771960</v>
      </c>
      <c r="K64" s="42">
        <f>K8+K13+K20+K22+K24+K26+K28+K31+K33+K37+K39+K44+K47+K49+K52+K54+K56+K58</f>
        <v>3226800</v>
      </c>
      <c r="L64" s="50"/>
      <c r="M64" s="42">
        <f>M8+M13+M20+M22+M24+M26+M28+M31+M33+M37+M39+M44+M47+M49+M52+M54+M56+M58+M60+M65+M66</f>
        <v>20043760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/>
      <c r="G67" s="145">
        <v>14</v>
      </c>
      <c r="H67" s="119"/>
      <c r="K67" s="97" t="s">
        <v>32</v>
      </c>
      <c r="L67" s="234">
        <f>L65+L66</f>
        <v>3</v>
      </c>
    </row>
    <row r="68" spans="2:13" ht="13.5" thickBot="1">
      <c r="B68" s="120" t="s">
        <v>75</v>
      </c>
      <c r="C68" s="131">
        <f t="shared" ref="C68:C74" si="20">F68+G68</f>
        <v>12</v>
      </c>
      <c r="D68" s="342">
        <f>C68*30000</f>
        <v>360000</v>
      </c>
      <c r="E68" s="343"/>
      <c r="F68" s="122">
        <v>5</v>
      </c>
      <c r="G68" s="139">
        <v>7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19</v>
      </c>
      <c r="D69" s="329">
        <f>C69*35000</f>
        <v>665000</v>
      </c>
      <c r="E69" s="330"/>
      <c r="F69" s="121">
        <v>6</v>
      </c>
      <c r="G69" s="138">
        <v>13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18</v>
      </c>
      <c r="D70" s="329">
        <f>C70*20000</f>
        <v>360000</v>
      </c>
      <c r="E70" s="330"/>
      <c r="F70" s="121">
        <v>15</v>
      </c>
      <c r="G70" s="138">
        <v>3</v>
      </c>
      <c r="H70" s="135"/>
      <c r="I70" s="97"/>
      <c r="K70" s="109" t="s">
        <v>132</v>
      </c>
      <c r="L70" s="163">
        <f>C77</f>
        <v>55</v>
      </c>
      <c r="M70" s="110">
        <f>D77</f>
        <v>1770840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84</v>
      </c>
      <c r="M71" s="112">
        <f>D78+D79</f>
        <v>955000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43</v>
      </c>
      <c r="M72" s="114">
        <f>L72*20000</f>
        <v>860000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46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1</v>
      </c>
      <c r="D76" s="351">
        <f>16*2240</f>
        <v>35840</v>
      </c>
      <c r="E76" s="352"/>
      <c r="F76" s="128"/>
      <c r="G76" s="142">
        <v>1</v>
      </c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55</v>
      </c>
      <c r="D77" s="344">
        <f>SUM(D67:E76)</f>
        <v>1770840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29</v>
      </c>
      <c r="D78" s="346">
        <v>330000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55</v>
      </c>
      <c r="D79" s="348">
        <v>625000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80"/>
  <sheetViews>
    <sheetView topLeftCell="A59" workbookViewId="0">
      <selection activeCell="J69" sqref="J69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7</v>
      </c>
      <c r="E8" s="34">
        <f>SUM(E9:E12)</f>
        <v>8</v>
      </c>
      <c r="F8" s="34">
        <f>F9</f>
        <v>24</v>
      </c>
      <c r="G8" s="34">
        <f>G10+G11+G12</f>
        <v>199</v>
      </c>
      <c r="H8" s="35">
        <f>SUM(H9:H12)</f>
        <v>223</v>
      </c>
      <c r="I8" s="35">
        <f>SUM(I9:I12)</f>
        <v>232</v>
      </c>
      <c r="J8" s="35">
        <f>SUM(J9:J12)</f>
        <v>769600</v>
      </c>
      <c r="K8" s="35">
        <f>SUM(K9:K12)</f>
        <v>305600</v>
      </c>
      <c r="L8" s="34">
        <f>L9+L10+L11+L12</f>
        <v>0</v>
      </c>
      <c r="M8" s="35">
        <f>SUM(M9:M12)</f>
        <v>1075200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5</v>
      </c>
      <c r="E10" s="235">
        <f>D10</f>
        <v>5</v>
      </c>
      <c r="F10" s="235"/>
      <c r="G10" s="235">
        <v>139</v>
      </c>
      <c r="H10" s="30">
        <f>G10</f>
        <v>139</v>
      </c>
      <c r="I10" s="30">
        <f>H10+E10</f>
        <v>144</v>
      </c>
      <c r="J10" s="30">
        <f>3200*I10</f>
        <v>460800</v>
      </c>
      <c r="K10" s="30">
        <f t="shared" ref="K10:K19" si="0">1600*H10</f>
        <v>222400</v>
      </c>
      <c r="L10" s="46"/>
      <c r="M10" s="43">
        <f>J10+K10</f>
        <v>683200</v>
      </c>
    </row>
    <row r="11" spans="1:13">
      <c r="A11" s="10"/>
      <c r="B11" s="1" t="s">
        <v>5</v>
      </c>
      <c r="C11" s="235"/>
      <c r="D11" s="235">
        <v>1</v>
      </c>
      <c r="E11" s="235">
        <f>D11</f>
        <v>1</v>
      </c>
      <c r="F11" s="235"/>
      <c r="G11" s="235">
        <v>28</v>
      </c>
      <c r="H11" s="30">
        <f>G11</f>
        <v>28</v>
      </c>
      <c r="I11" s="30">
        <f>H11+E11</f>
        <v>29</v>
      </c>
      <c r="J11" s="30">
        <f>3200*I11</f>
        <v>92800</v>
      </c>
      <c r="K11" s="30">
        <f t="shared" si="0"/>
        <v>44800</v>
      </c>
      <c r="L11" s="46"/>
      <c r="M11" s="43">
        <f>J11+K11</f>
        <v>137600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28</v>
      </c>
      <c r="D13" s="37">
        <f>D15+D16+D17+D18+D19</f>
        <v>31</v>
      </c>
      <c r="E13" s="37">
        <f>SUM(E14:E19)</f>
        <v>59</v>
      </c>
      <c r="F13" s="37">
        <f>F14</f>
        <v>420</v>
      </c>
      <c r="G13" s="37">
        <f>G15+G16+G17+G18+G19</f>
        <v>465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7">
        <f>L14+L15+L16+L17+L18+L19</f>
        <v>0</v>
      </c>
      <c r="M13" s="38">
        <f>SUM(M14:M19)</f>
        <v>4436800</v>
      </c>
    </row>
    <row r="14" spans="1:13">
      <c r="A14" s="12"/>
      <c r="B14" s="1" t="s">
        <v>3</v>
      </c>
      <c r="C14" s="235">
        <v>28</v>
      </c>
      <c r="D14" s="235"/>
      <c r="E14" s="235">
        <f>C14</f>
        <v>28</v>
      </c>
      <c r="F14" s="235">
        <f>C14*15</f>
        <v>420</v>
      </c>
      <c r="G14" s="235"/>
      <c r="H14" s="30">
        <f>F14</f>
        <v>420</v>
      </c>
      <c r="I14" s="30">
        <f t="shared" ref="I14:I19" si="1">H14+E14</f>
        <v>448</v>
      </c>
      <c r="J14" s="30">
        <f t="shared" ref="J14:J19" si="2">3200*I14</f>
        <v>1433600</v>
      </c>
      <c r="K14" s="30">
        <f t="shared" si="0"/>
        <v>672000</v>
      </c>
      <c r="L14" s="46"/>
      <c r="M14" s="43">
        <f t="shared" ref="M14:M19" si="3">J14+K14</f>
        <v>2105600</v>
      </c>
    </row>
    <row r="15" spans="1:13">
      <c r="A15" s="12"/>
      <c r="B15" s="1" t="s">
        <v>6</v>
      </c>
      <c r="C15" s="235"/>
      <c r="D15" s="235">
        <v>12</v>
      </c>
      <c r="E15" s="235">
        <f>D15</f>
        <v>12</v>
      </c>
      <c r="F15" s="235"/>
      <c r="G15" s="235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35"/>
      <c r="D16" s="235">
        <v>16</v>
      </c>
      <c r="E16" s="235">
        <f>D16</f>
        <v>16</v>
      </c>
      <c r="F16" s="235"/>
      <c r="G16" s="235">
        <f>D16*15</f>
        <v>240</v>
      </c>
      <c r="H16" s="30">
        <f>G16</f>
        <v>240</v>
      </c>
      <c r="I16" s="30">
        <f t="shared" si="1"/>
        <v>256</v>
      </c>
      <c r="J16" s="30">
        <f t="shared" si="2"/>
        <v>819200</v>
      </c>
      <c r="K16" s="30">
        <f t="shared" si="0"/>
        <v>384000</v>
      </c>
      <c r="L16" s="46"/>
      <c r="M16" s="43">
        <f t="shared" si="3"/>
        <v>1203200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87</v>
      </c>
      <c r="E20" s="37">
        <f>E21</f>
        <v>87</v>
      </c>
      <c r="F20" s="37"/>
      <c r="G20" s="37">
        <f t="shared" ref="G20:M20" si="4">G21</f>
        <v>1529</v>
      </c>
      <c r="H20" s="37">
        <f t="shared" si="4"/>
        <v>1529</v>
      </c>
      <c r="I20" s="37">
        <f t="shared" si="4"/>
        <v>1624</v>
      </c>
      <c r="J20" s="37">
        <f t="shared" si="4"/>
        <v>5196800</v>
      </c>
      <c r="K20" s="37">
        <f t="shared" si="4"/>
        <v>0</v>
      </c>
      <c r="L20" s="47">
        <f t="shared" si="4"/>
        <v>0</v>
      </c>
      <c r="M20" s="38">
        <f t="shared" si="4"/>
        <v>5196800</v>
      </c>
    </row>
    <row r="21" spans="1:13">
      <c r="A21" s="10"/>
      <c r="B21" s="24" t="s">
        <v>19</v>
      </c>
      <c r="C21" s="235"/>
      <c r="D21" s="235">
        <v>87</v>
      </c>
      <c r="E21" s="235">
        <f>D21</f>
        <v>87</v>
      </c>
      <c r="F21" s="235"/>
      <c r="G21" s="235">
        <v>1529</v>
      </c>
      <c r="H21" s="30">
        <f>G20</f>
        <v>1529</v>
      </c>
      <c r="I21" s="30">
        <v>1624</v>
      </c>
      <c r="J21" s="30">
        <f>3200*I21</f>
        <v>5196800</v>
      </c>
      <c r="K21" s="30"/>
      <c r="L21" s="46"/>
      <c r="M21" s="43">
        <f>J21+K21</f>
        <v>5196800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6</v>
      </c>
      <c r="E28" s="37">
        <f>E29+E30</f>
        <v>10</v>
      </c>
      <c r="F28" s="37">
        <f>F29</f>
        <v>88</v>
      </c>
      <c r="G28" s="37">
        <f>G30</f>
        <v>135</v>
      </c>
      <c r="H28" s="38">
        <f t="shared" ref="H28:M28" si="8">H29+H30</f>
        <v>223</v>
      </c>
      <c r="I28" s="38">
        <f t="shared" si="8"/>
        <v>233</v>
      </c>
      <c r="J28" s="38">
        <f t="shared" si="8"/>
        <v>745600</v>
      </c>
      <c r="K28" s="38">
        <f t="shared" si="8"/>
        <v>356800</v>
      </c>
      <c r="L28" s="48">
        <f t="shared" si="8"/>
        <v>0</v>
      </c>
      <c r="M28" s="216">
        <f t="shared" si="8"/>
        <v>1145600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88</v>
      </c>
      <c r="G29" s="235"/>
      <c r="H29" s="30">
        <f>F29</f>
        <v>88</v>
      </c>
      <c r="I29" s="30">
        <f>H29+E29</f>
        <v>92</v>
      </c>
      <c r="J29" s="30">
        <f>3200*I29</f>
        <v>294400</v>
      </c>
      <c r="K29" s="30">
        <f>1600*H29</f>
        <v>140800</v>
      </c>
      <c r="L29" s="46"/>
      <c r="M29" s="43">
        <f>J29+K29</f>
        <v>435200</v>
      </c>
    </row>
    <row r="30" spans="1:13">
      <c r="A30" s="12"/>
      <c r="B30" s="1" t="s">
        <v>11</v>
      </c>
      <c r="C30" s="235"/>
      <c r="D30" s="235">
        <v>6</v>
      </c>
      <c r="E30" s="235">
        <f>D30</f>
        <v>6</v>
      </c>
      <c r="F30" s="235"/>
      <c r="G30" s="30">
        <v>135</v>
      </c>
      <c r="H30" s="30">
        <f>G30</f>
        <v>135</v>
      </c>
      <c r="I30" s="30">
        <f>H30+E30</f>
        <v>141</v>
      </c>
      <c r="J30" s="30">
        <f>3200*I30</f>
        <v>451200</v>
      </c>
      <c r="K30" s="30">
        <f>1600*H30</f>
        <v>216000</v>
      </c>
      <c r="L30" s="46"/>
      <c r="M30" s="43">
        <f>J30+K30+M62</f>
        <v>710400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27</v>
      </c>
      <c r="E31" s="37">
        <f t="shared" si="9"/>
        <v>27</v>
      </c>
      <c r="F31" s="37">
        <f t="shared" si="9"/>
        <v>0</v>
      </c>
      <c r="G31" s="37">
        <f t="shared" si="9"/>
        <v>405</v>
      </c>
      <c r="H31" s="37">
        <f t="shared" si="9"/>
        <v>405</v>
      </c>
      <c r="I31" s="37">
        <f t="shared" si="9"/>
        <v>432</v>
      </c>
      <c r="J31" s="37">
        <f t="shared" si="9"/>
        <v>1382400</v>
      </c>
      <c r="K31" s="37">
        <f t="shared" si="9"/>
        <v>0</v>
      </c>
      <c r="L31" s="37">
        <f t="shared" si="9"/>
        <v>0</v>
      </c>
      <c r="M31" s="38">
        <f t="shared" si="9"/>
        <v>1382400</v>
      </c>
    </row>
    <row r="32" spans="1:13">
      <c r="A32" s="10"/>
      <c r="B32" s="24" t="s">
        <v>19</v>
      </c>
      <c r="C32" s="235"/>
      <c r="D32" s="235">
        <v>27</v>
      </c>
      <c r="E32" s="235">
        <f>D32</f>
        <v>27</v>
      </c>
      <c r="F32" s="235"/>
      <c r="G32" s="235">
        <f>E32*15</f>
        <v>405</v>
      </c>
      <c r="H32" s="30">
        <f>G32</f>
        <v>405</v>
      </c>
      <c r="I32" s="30">
        <f>H32+E32</f>
        <v>432</v>
      </c>
      <c r="J32" s="30">
        <f>3200*I32</f>
        <v>1382400</v>
      </c>
      <c r="K32" s="30"/>
      <c r="L32" s="46"/>
      <c r="M32" s="43">
        <f>J32+K32</f>
        <v>1382400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167</v>
      </c>
      <c r="G33" s="37">
        <f>G35+G36</f>
        <v>238</v>
      </c>
      <c r="H33" s="38">
        <f t="shared" ref="H33:M33" si="10">H34+H35+H36</f>
        <v>405</v>
      </c>
      <c r="I33" s="38">
        <f t="shared" si="10"/>
        <v>421</v>
      </c>
      <c r="J33" s="35">
        <f t="shared" si="10"/>
        <v>1398400</v>
      </c>
      <c r="K33" s="35">
        <f t="shared" si="10"/>
        <v>550400</v>
      </c>
      <c r="L33" s="47">
        <f t="shared" si="10"/>
        <v>0</v>
      </c>
      <c r="M33" s="216">
        <f t="shared" si="10"/>
        <v>1992000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167</v>
      </c>
      <c r="G34" s="235"/>
      <c r="H34" s="30">
        <f>F34</f>
        <v>167</v>
      </c>
      <c r="I34" s="30">
        <f>H34+E34</f>
        <v>173</v>
      </c>
      <c r="J34" s="30">
        <f>3200*I34</f>
        <v>553600</v>
      </c>
      <c r="K34" s="30">
        <f>1600*H34</f>
        <v>267200</v>
      </c>
      <c r="L34" s="46"/>
      <c r="M34" s="43">
        <f>J34+K34</f>
        <v>820800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177</v>
      </c>
      <c r="H35" s="30">
        <f>G35</f>
        <v>177</v>
      </c>
      <c r="I35" s="30">
        <f>H35+E35</f>
        <v>184</v>
      </c>
      <c r="J35" s="30">
        <f>3200*I35</f>
        <v>588800</v>
      </c>
      <c r="K35" s="30">
        <f>1600*H35</f>
        <v>283200</v>
      </c>
      <c r="L35" s="46"/>
      <c r="M35" s="43">
        <f>J35+K35+M63</f>
        <v>915200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26</v>
      </c>
      <c r="E37" s="37">
        <f>E38</f>
        <v>26</v>
      </c>
      <c r="F37" s="37"/>
      <c r="G37" s="37">
        <f t="shared" ref="G37:M37" si="11">G38</f>
        <v>390</v>
      </c>
      <c r="H37" s="38">
        <f t="shared" si="11"/>
        <v>390</v>
      </c>
      <c r="I37" s="38">
        <f t="shared" si="11"/>
        <v>416</v>
      </c>
      <c r="J37" s="38">
        <f t="shared" si="11"/>
        <v>1664000</v>
      </c>
      <c r="K37" s="38">
        <f t="shared" si="11"/>
        <v>0</v>
      </c>
      <c r="L37" s="48">
        <f t="shared" si="11"/>
        <v>0</v>
      </c>
      <c r="M37" s="216">
        <f t="shared" si="11"/>
        <v>1664000</v>
      </c>
    </row>
    <row r="38" spans="1:13">
      <c r="A38" s="13"/>
      <c r="B38" s="96" t="s">
        <v>128</v>
      </c>
      <c r="C38" s="235"/>
      <c r="D38" s="235">
        <v>26</v>
      </c>
      <c r="E38" s="235">
        <f>D38</f>
        <v>26</v>
      </c>
      <c r="F38" s="235"/>
      <c r="G38" s="235">
        <f>E38*15</f>
        <v>390</v>
      </c>
      <c r="H38" s="30">
        <f>G38</f>
        <v>390</v>
      </c>
      <c r="I38" s="30">
        <f>H38+E38</f>
        <v>416</v>
      </c>
      <c r="J38" s="30">
        <f>4000*I38</f>
        <v>1664000</v>
      </c>
      <c r="K38" s="30"/>
      <c r="L38" s="46"/>
      <c r="M38" s="43">
        <f>J38+K38</f>
        <v>1664000</v>
      </c>
    </row>
    <row r="39" spans="1:13">
      <c r="A39" s="36">
        <v>11</v>
      </c>
      <c r="B39" s="33" t="s">
        <v>44</v>
      </c>
      <c r="C39" s="37"/>
      <c r="D39" s="37">
        <f>D40+D41+D42+D43</f>
        <v>2</v>
      </c>
      <c r="E39" s="37">
        <f>E40+E41+E42+E43</f>
        <v>2</v>
      </c>
      <c r="F39" s="37"/>
      <c r="G39" s="37">
        <f t="shared" ref="G39:M39" si="12">G40+G41+G42+G43</f>
        <v>82</v>
      </c>
      <c r="H39" s="38">
        <f t="shared" si="12"/>
        <v>82</v>
      </c>
      <c r="I39" s="38">
        <f t="shared" si="12"/>
        <v>86</v>
      </c>
      <c r="J39" s="45">
        <f t="shared" si="12"/>
        <v>421400</v>
      </c>
      <c r="K39" s="45">
        <f t="shared" si="12"/>
        <v>187600</v>
      </c>
      <c r="L39" s="47">
        <f t="shared" si="12"/>
        <v>0</v>
      </c>
      <c r="M39" s="216">
        <f t="shared" si="12"/>
        <v>609000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>
        <v>1</v>
      </c>
      <c r="E43" s="235">
        <f>D43</f>
        <v>1</v>
      </c>
      <c r="F43" s="235"/>
      <c r="G43" s="235">
        <f>E43*38</f>
        <v>38</v>
      </c>
      <c r="H43" s="30">
        <f>G43</f>
        <v>38</v>
      </c>
      <c r="I43" s="30">
        <f>H43+E43*2</f>
        <v>40</v>
      </c>
      <c r="J43" s="30">
        <f>5590*I43</f>
        <v>223600</v>
      </c>
      <c r="K43" s="30">
        <f>3200*H43</f>
        <v>121600</v>
      </c>
      <c r="L43" s="46"/>
      <c r="M43" s="43">
        <f>J43+K43</f>
        <v>345200</v>
      </c>
    </row>
    <row r="44" spans="1:13">
      <c r="A44" s="36">
        <v>12</v>
      </c>
      <c r="B44" s="40" t="s">
        <v>46</v>
      </c>
      <c r="C44" s="37"/>
      <c r="D44" s="37">
        <f>D45+D46</f>
        <v>1</v>
      </c>
      <c r="E44" s="37">
        <f>E45+E46</f>
        <v>1</v>
      </c>
      <c r="F44" s="37"/>
      <c r="G44" s="37">
        <f t="shared" ref="G44:M44" si="13">G45+G46</f>
        <v>40</v>
      </c>
      <c r="H44" s="37">
        <f t="shared" si="13"/>
        <v>40</v>
      </c>
      <c r="I44" s="37">
        <f t="shared" si="13"/>
        <v>42</v>
      </c>
      <c r="J44" s="37">
        <f t="shared" si="13"/>
        <v>234780</v>
      </c>
      <c r="K44" s="37">
        <f t="shared" si="13"/>
        <v>60000</v>
      </c>
      <c r="L44" s="37">
        <f t="shared" si="13"/>
        <v>0</v>
      </c>
      <c r="M44" s="219">
        <f t="shared" si="13"/>
        <v>294780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/>
      <c r="E46" s="235">
        <f t="shared" si="14"/>
        <v>0</v>
      </c>
      <c r="F46" s="235"/>
      <c r="G46" s="235">
        <f>D46*40</f>
        <v>0</v>
      </c>
      <c r="H46" s="30">
        <f>G46</f>
        <v>0</v>
      </c>
      <c r="I46" s="235">
        <f>D46*42</f>
        <v>0</v>
      </c>
      <c r="J46" s="30">
        <f>5590*I46</f>
        <v>0</v>
      </c>
      <c r="K46" s="30">
        <f>1500*H46</f>
        <v>0</v>
      </c>
      <c r="L46" s="46"/>
      <c r="M46" s="43">
        <f>J46+K46</f>
        <v>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6</v>
      </c>
      <c r="E49" s="37">
        <f>E50+E51</f>
        <v>6</v>
      </c>
      <c r="F49" s="37"/>
      <c r="G49" s="37">
        <f t="shared" ref="G49:M49" si="16">G50+G51</f>
        <v>90</v>
      </c>
      <c r="H49" s="37">
        <f t="shared" si="16"/>
        <v>90</v>
      </c>
      <c r="I49" s="37">
        <f t="shared" si="16"/>
        <v>96</v>
      </c>
      <c r="J49" s="37">
        <f t="shared" si="16"/>
        <v>371200</v>
      </c>
      <c r="K49" s="37">
        <f t="shared" si="16"/>
        <v>24000</v>
      </c>
      <c r="L49" s="37">
        <f t="shared" si="16"/>
        <v>0</v>
      </c>
      <c r="M49" s="219">
        <f t="shared" si="16"/>
        <v>395200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5</v>
      </c>
      <c r="E51" s="235">
        <f t="shared" si="14"/>
        <v>5</v>
      </c>
      <c r="F51" s="235"/>
      <c r="G51" s="153">
        <v>75</v>
      </c>
      <c r="H51" s="30">
        <f>G51</f>
        <v>75</v>
      </c>
      <c r="I51" s="30">
        <f>H51+E51</f>
        <v>80</v>
      </c>
      <c r="J51" s="30">
        <f>4000*I51</f>
        <v>320000</v>
      </c>
      <c r="K51" s="30"/>
      <c r="L51" s="46"/>
      <c r="M51" s="43">
        <f>J51+K51+(L51*15000)</f>
        <v>320000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84</v>
      </c>
      <c r="H58" s="170">
        <f>H59</f>
        <v>84</v>
      </c>
      <c r="I58" s="170">
        <f>I59</f>
        <v>88</v>
      </c>
      <c r="J58" s="170">
        <f>J59</f>
        <v>432580</v>
      </c>
      <c r="K58" s="170">
        <f>K59</f>
        <v>238000</v>
      </c>
      <c r="L58" s="81">
        <f>L59+L63</f>
        <v>1</v>
      </c>
      <c r="M58" s="217">
        <f>M59</f>
        <v>670580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84</v>
      </c>
      <c r="H59" s="31">
        <f>G59</f>
        <v>84</v>
      </c>
      <c r="I59" s="31">
        <f>H59+E59*2</f>
        <v>88</v>
      </c>
      <c r="J59" s="79">
        <v>432580</v>
      </c>
      <c r="K59" s="31">
        <v>238000</v>
      </c>
      <c r="L59" s="49"/>
      <c r="M59" s="80">
        <f>J59+K59</f>
        <v>670580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39</v>
      </c>
      <c r="D64" s="42">
        <f>D8+D13+D20+D22+D24+D26+D28+D31+D33+D37+D39+D44+D47+D49+D52+D54+D56+D58</f>
        <v>208</v>
      </c>
      <c r="E64" s="42">
        <f>E8+E13+E20+E22+E24+E26+E28+E31+E33+E37+E39+E44+E47+E49+E52+E54+E56+E58+E60</f>
        <v>247</v>
      </c>
      <c r="F64" s="42">
        <f>F8+F13+F28+F33+F60</f>
        <v>699</v>
      </c>
      <c r="G64" s="42">
        <f>G8+G13+G20+G22+G24+G26+G28+G31+G33+G37+G39+G44+G47+G49+G52+G54+G56+G58</f>
        <v>3767</v>
      </c>
      <c r="H64" s="42">
        <f>H8+H13+H20+H22+H24+H26+H28+H31+H33+H37+H39+H44+H47+H49+H52+H54+H56+H58+H60</f>
        <v>4466</v>
      </c>
      <c r="I64" s="42">
        <f>I8+I13+I20+I22+I24+I26+I28+I31+I33+I37+I39+I44+I47+I49+I52+I54+I56+I58+I60</f>
        <v>4729</v>
      </c>
      <c r="J64" s="42">
        <f>J8+J13+J20+J22+J24+J26+J28+J31+J33+J37+J39+J44+J47+J49+J52+J54+J56+J58</f>
        <v>16037460</v>
      </c>
      <c r="K64" s="42">
        <f>K8+K13+K20+K22+K24+K26+K28+K31+K33+K37+K39+K44+K47+K49+K52+K54+K56+K58</f>
        <v>3339600</v>
      </c>
      <c r="L64" s="50"/>
      <c r="M64" s="42">
        <f>M8+M13+M20+M22+M24+M26+M28+M31+M33+M37+M39+M44+M47+M49+M52+M54+M56+M58+M60+M65+M66</f>
        <v>19523460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4</v>
      </c>
      <c r="M66" s="150">
        <f>15000*L66</f>
        <v>60000</v>
      </c>
    </row>
    <row r="67" spans="2:13">
      <c r="B67" s="144" t="s">
        <v>74</v>
      </c>
      <c r="C67" s="131">
        <f>F67+G67</f>
        <v>15</v>
      </c>
      <c r="D67" s="340">
        <f>C67*25000</f>
        <v>375000</v>
      </c>
      <c r="E67" s="341"/>
      <c r="F67" s="131">
        <v>0</v>
      </c>
      <c r="G67" s="145">
        <v>15</v>
      </c>
      <c r="H67" s="119"/>
      <c r="K67" s="97" t="s">
        <v>32</v>
      </c>
      <c r="L67" s="234">
        <f>L65+L66</f>
        <v>4</v>
      </c>
    </row>
    <row r="68" spans="2:13" ht="13.5" thickBot="1">
      <c r="B68" s="120" t="s">
        <v>75</v>
      </c>
      <c r="C68" s="131">
        <f t="shared" ref="C68:C74" si="20">F68+G68</f>
        <v>6</v>
      </c>
      <c r="D68" s="342">
        <f>C68*30000</f>
        <v>180000</v>
      </c>
      <c r="E68" s="343"/>
      <c r="F68" s="122">
        <v>3</v>
      </c>
      <c r="G68" s="139">
        <v>3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</v>
      </c>
      <c r="D69" s="329">
        <f>C69*35000</f>
        <v>35000</v>
      </c>
      <c r="E69" s="330"/>
      <c r="F69" s="121">
        <v>1</v>
      </c>
      <c r="G69" s="138">
        <v>0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11</v>
      </c>
      <c r="D70" s="329">
        <f>C70*20000</f>
        <v>220000</v>
      </c>
      <c r="E70" s="330"/>
      <c r="F70" s="121">
        <v>10</v>
      </c>
      <c r="G70" s="138">
        <v>1</v>
      </c>
      <c r="H70" s="135"/>
      <c r="I70" s="97"/>
      <c r="K70" s="109" t="s">
        <v>132</v>
      </c>
      <c r="L70" s="163">
        <f>C77</f>
        <v>27.5</v>
      </c>
      <c r="M70" s="110">
        <f>D77</f>
        <v>810000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73</v>
      </c>
      <c r="M71" s="112">
        <f>D78+D79</f>
        <v>759000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48</v>
      </c>
      <c r="M72" s="114">
        <f>L72*20000</f>
        <v>960000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52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>
        <f>46*4300+42*5590</f>
        <v>432580</v>
      </c>
    </row>
    <row r="77" spans="2:13" ht="14.25" thickTop="1" thickBot="1">
      <c r="B77" s="132" t="s">
        <v>54</v>
      </c>
      <c r="C77" s="160">
        <f>C67+C68+C69+(C70/2)+C71+(C72/2)+C73+(C74/2)+C75+C76</f>
        <v>27.5</v>
      </c>
      <c r="D77" s="344">
        <f>SUM(D67:E76)</f>
        <v>810000</v>
      </c>
      <c r="E77" s="345"/>
      <c r="F77" s="133"/>
      <c r="G77" s="134"/>
      <c r="H77" s="119"/>
      <c r="J77">
        <f>44*2500+40*3200</f>
        <v>238000</v>
      </c>
    </row>
    <row r="78" spans="2:13" ht="13.5" thickTop="1">
      <c r="B78" s="129" t="s">
        <v>144</v>
      </c>
      <c r="C78" s="131">
        <v>32</v>
      </c>
      <c r="D78" s="346">
        <v>355000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41</v>
      </c>
      <c r="D79" s="348">
        <v>404000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8"/>
  <sheetViews>
    <sheetView topLeftCell="A4" workbookViewId="0">
      <selection activeCell="B8" sqref="B8"/>
    </sheetView>
  </sheetViews>
  <sheetFormatPr defaultRowHeight="14.25"/>
  <cols>
    <col min="1" max="1" width="4.140625" style="184" customWidth="1"/>
    <col min="2" max="2" width="24.140625" style="184" bestFit="1" customWidth="1"/>
    <col min="3" max="3" width="6.28515625" style="184" customWidth="1"/>
    <col min="4" max="4" width="15.5703125" style="184" bestFit="1" customWidth="1"/>
    <col min="5" max="5" width="12.28515625" style="184" bestFit="1" customWidth="1"/>
    <col min="6" max="6" width="16.85546875" style="184" bestFit="1" customWidth="1"/>
    <col min="7" max="7" width="10.85546875" style="184" bestFit="1" customWidth="1"/>
    <col min="8" max="8" width="9.140625" style="184"/>
    <col min="9" max="9" width="12.28515625" style="184" bestFit="1" customWidth="1"/>
    <col min="10" max="10" width="14" style="184" bestFit="1" customWidth="1"/>
    <col min="11" max="11" width="9.140625" style="184"/>
    <col min="12" max="12" width="10" style="184" bestFit="1" customWidth="1"/>
    <col min="13" max="13" width="12.28515625" style="184" bestFit="1" customWidth="1"/>
    <col min="14" max="14" width="13.42578125" style="184" bestFit="1" customWidth="1"/>
    <col min="15" max="17" width="10" style="184" bestFit="1" customWidth="1"/>
    <col min="18" max="19" width="11" style="184" bestFit="1" customWidth="1"/>
    <col min="20" max="21" width="10.28515625" style="184" customWidth="1"/>
    <col min="22" max="22" width="10.85546875" style="184" customWidth="1"/>
    <col min="23" max="16384" width="9.140625" style="184"/>
  </cols>
  <sheetData>
    <row r="1" spans="1:20" s="181" customFormat="1" ht="16.5">
      <c r="A1" s="290" t="s">
        <v>149</v>
      </c>
      <c r="B1" s="290"/>
      <c r="C1" s="290"/>
      <c r="D1" s="291" t="s">
        <v>67</v>
      </c>
      <c r="E1" s="291"/>
      <c r="F1" s="291"/>
      <c r="G1" s="291"/>
      <c r="H1" s="291"/>
      <c r="I1" s="291"/>
      <c r="J1" s="291"/>
      <c r="K1" s="291"/>
    </row>
    <row r="2" spans="1:20" s="181" customFormat="1" ht="16.5">
      <c r="A2" s="292" t="s">
        <v>148</v>
      </c>
      <c r="B2" s="292"/>
      <c r="C2" s="292"/>
      <c r="D2" s="293" t="s">
        <v>69</v>
      </c>
      <c r="E2" s="293"/>
      <c r="F2" s="293"/>
      <c r="G2" s="293"/>
      <c r="H2" s="293"/>
      <c r="I2" s="293"/>
      <c r="J2" s="293"/>
      <c r="K2" s="293"/>
    </row>
    <row r="3" spans="1:20" s="181" customFormat="1" ht="16.5">
      <c r="A3" s="291" t="s">
        <v>68</v>
      </c>
      <c r="B3" s="291"/>
      <c r="C3" s="291"/>
      <c r="D3" s="180"/>
      <c r="E3" s="180"/>
      <c r="F3" s="180"/>
      <c r="G3" s="180"/>
      <c r="H3" s="180"/>
      <c r="I3" s="180"/>
      <c r="J3" s="180"/>
      <c r="K3" s="180"/>
    </row>
    <row r="4" spans="1:20" s="181" customFormat="1" ht="51" customHeight="1">
      <c r="A4" s="294" t="s">
        <v>240</v>
      </c>
      <c r="B4" s="294"/>
      <c r="C4" s="294"/>
      <c r="D4" s="294"/>
      <c r="E4" s="294"/>
      <c r="F4" s="294"/>
      <c r="G4" s="294"/>
      <c r="H4" s="294"/>
      <c r="I4" s="294"/>
      <c r="J4" s="294"/>
      <c r="K4" s="294"/>
      <c r="L4" s="181" t="s">
        <v>72</v>
      </c>
    </row>
    <row r="5" spans="1:20" s="181" customFormat="1" ht="18.75" customHeight="1">
      <c r="A5" s="294" t="s">
        <v>68</v>
      </c>
      <c r="B5" s="294"/>
      <c r="C5" s="294"/>
      <c r="D5" s="294"/>
      <c r="E5" s="294"/>
      <c r="F5" s="294"/>
      <c r="G5" s="294"/>
      <c r="H5" s="294"/>
      <c r="I5" s="294"/>
      <c r="J5" s="294"/>
      <c r="K5" s="294"/>
    </row>
    <row r="6" spans="1:20" s="181" customFormat="1" ht="9" customHeight="1">
      <c r="A6" s="180"/>
      <c r="B6" s="180"/>
      <c r="C6" s="180"/>
      <c r="D6" s="180"/>
      <c r="E6" s="180"/>
      <c r="F6" s="180"/>
      <c r="G6" s="180"/>
      <c r="H6" s="180"/>
      <c r="I6" s="180"/>
      <c r="J6" s="180"/>
      <c r="K6" s="180"/>
    </row>
    <row r="7" spans="1:20" s="183" customFormat="1" ht="19.5">
      <c r="A7" s="276" t="s">
        <v>169</v>
      </c>
      <c r="B7" s="276"/>
      <c r="C7" s="276"/>
      <c r="D7" s="276"/>
      <c r="E7" s="276"/>
      <c r="F7" s="276"/>
      <c r="G7" s="276"/>
      <c r="H7" s="276"/>
      <c r="I7" s="276"/>
      <c r="J7" s="276"/>
      <c r="K7" s="276"/>
    </row>
    <row r="8" spans="1:20">
      <c r="R8" s="184">
        <f>SUM(L10:R10)</f>
        <v>2564692900</v>
      </c>
      <c r="S8" s="184">
        <f>SUM(L10:S10)</f>
        <v>2937518300</v>
      </c>
    </row>
    <row r="9" spans="1:20" ht="15.75">
      <c r="A9" s="287" t="s">
        <v>47</v>
      </c>
      <c r="B9" s="287" t="s">
        <v>170</v>
      </c>
      <c r="C9" s="287" t="s">
        <v>171</v>
      </c>
      <c r="D9" s="288" t="s">
        <v>172</v>
      </c>
      <c r="E9" s="288"/>
      <c r="F9" s="288" t="s">
        <v>241</v>
      </c>
      <c r="G9" s="288"/>
      <c r="H9" s="288"/>
      <c r="I9" s="288" t="s">
        <v>173</v>
      </c>
      <c r="J9" s="288"/>
      <c r="K9" s="288"/>
      <c r="L9" s="201" t="s">
        <v>225</v>
      </c>
      <c r="M9" s="201" t="s">
        <v>226</v>
      </c>
      <c r="N9" s="201" t="s">
        <v>227</v>
      </c>
      <c r="O9" s="201" t="s">
        <v>228</v>
      </c>
      <c r="P9" s="201" t="s">
        <v>229</v>
      </c>
      <c r="Q9" s="201" t="s">
        <v>230</v>
      </c>
      <c r="R9" s="201" t="s">
        <v>231</v>
      </c>
      <c r="S9" s="201" t="s">
        <v>233</v>
      </c>
      <c r="T9" s="201" t="s">
        <v>245</v>
      </c>
    </row>
    <row r="10" spans="1:20" ht="15.75">
      <c r="A10" s="287"/>
      <c r="B10" s="287"/>
      <c r="C10" s="287"/>
      <c r="D10" s="287" t="s">
        <v>174</v>
      </c>
      <c r="E10" s="287" t="s">
        <v>175</v>
      </c>
      <c r="F10" s="287" t="s">
        <v>176</v>
      </c>
      <c r="G10" s="288" t="s">
        <v>177</v>
      </c>
      <c r="H10" s="288"/>
      <c r="I10" s="287" t="s">
        <v>176</v>
      </c>
      <c r="J10" s="288" t="s">
        <v>177</v>
      </c>
      <c r="K10" s="288"/>
      <c r="L10" s="184">
        <v>383462700</v>
      </c>
      <c r="M10" s="184">
        <v>349908700</v>
      </c>
      <c r="N10" s="184">
        <v>349097200</v>
      </c>
      <c r="O10" s="184">
        <v>361128100</v>
      </c>
      <c r="P10" s="184">
        <v>372015000</v>
      </c>
      <c r="Q10" s="184">
        <v>364683200</v>
      </c>
      <c r="R10" s="184">
        <v>384398000</v>
      </c>
      <c r="S10" s="184">
        <v>372825400</v>
      </c>
      <c r="T10" s="184">
        <v>377351100</v>
      </c>
    </row>
    <row r="11" spans="1:20" ht="15.75">
      <c r="A11" s="287"/>
      <c r="B11" s="287"/>
      <c r="C11" s="287"/>
      <c r="D11" s="287"/>
      <c r="E11" s="287"/>
      <c r="F11" s="287"/>
      <c r="G11" s="185" t="s">
        <v>178</v>
      </c>
      <c r="H11" s="185" t="s">
        <v>179</v>
      </c>
      <c r="I11" s="287"/>
      <c r="J11" s="185" t="s">
        <v>178</v>
      </c>
      <c r="K11" s="185" t="s">
        <v>179</v>
      </c>
      <c r="L11" s="184">
        <v>119137</v>
      </c>
      <c r="M11" s="184">
        <v>108540</v>
      </c>
      <c r="N11" s="184">
        <v>108311</v>
      </c>
      <c r="O11" s="184">
        <v>111792</v>
      </c>
      <c r="P11" s="184">
        <v>114738</v>
      </c>
      <c r="Q11" s="184">
        <v>112361</v>
      </c>
      <c r="R11" s="184">
        <v>118575</v>
      </c>
      <c r="S11" s="184">
        <v>114732</v>
      </c>
      <c r="T11" s="184">
        <v>116243</v>
      </c>
    </row>
    <row r="12" spans="1:20" ht="15.75">
      <c r="A12" s="185" t="s">
        <v>2</v>
      </c>
      <c r="B12" s="186" t="s">
        <v>180</v>
      </c>
      <c r="C12" s="187"/>
      <c r="D12" s="187"/>
      <c r="E12" s="187"/>
      <c r="F12" s="187"/>
      <c r="G12" s="231"/>
      <c r="H12" s="231"/>
      <c r="I12" s="187"/>
      <c r="J12" s="231"/>
      <c r="K12" s="231"/>
      <c r="L12" s="188"/>
    </row>
    <row r="13" spans="1:20" s="201" customFormat="1" ht="15.75">
      <c r="A13" s="185" t="s">
        <v>105</v>
      </c>
      <c r="B13" s="186" t="s">
        <v>51</v>
      </c>
      <c r="C13" s="186" t="s">
        <v>181</v>
      </c>
      <c r="D13" s="192">
        <v>6006926200</v>
      </c>
      <c r="E13" s="192">
        <f>D13/365*30</f>
        <v>493719961.6438356</v>
      </c>
      <c r="F13" s="192">
        <f>'BÁO CÁO THÁNG'!I26</f>
        <v>582957420</v>
      </c>
      <c r="G13" s="230">
        <f>F13/T10*100</f>
        <v>154.48674192284057</v>
      </c>
      <c r="H13" s="230">
        <f>F13/E13*100</f>
        <v>118.07450888942168</v>
      </c>
      <c r="I13" s="192">
        <f>F13+4237461290</f>
        <v>4820418710</v>
      </c>
      <c r="J13" s="230">
        <f>I13/SUM(L10:T10)*100</f>
        <v>145.41805809906117</v>
      </c>
      <c r="K13" s="230">
        <f>I13/D13*100</f>
        <v>80.247676590399934</v>
      </c>
      <c r="L13" s="200"/>
    </row>
    <row r="14" spans="1:20" s="201" customFormat="1" ht="15.75">
      <c r="A14" s="185" t="s">
        <v>108</v>
      </c>
      <c r="B14" s="186" t="s">
        <v>182</v>
      </c>
      <c r="C14" s="186" t="s">
        <v>183</v>
      </c>
      <c r="D14" s="192">
        <v>1419303</v>
      </c>
      <c r="E14" s="192">
        <f t="shared" ref="E14:E41" si="0">D14/365*30</f>
        <v>116655.04109589041</v>
      </c>
      <c r="F14" s="192">
        <f>'BÁO CÁO THÁNG'!H26</f>
        <v>134820</v>
      </c>
      <c r="G14" s="230">
        <f>F14/T11*100</f>
        <v>115.98117736121745</v>
      </c>
      <c r="H14" s="230">
        <f t="shared" ref="H14:H20" si="1">F14/E14*100</f>
        <v>115.57151644152096</v>
      </c>
      <c r="I14" s="192">
        <f>F14+972597</f>
        <v>1107417</v>
      </c>
      <c r="J14" s="230">
        <f>I14/SUM(L11:T11)*100</f>
        <v>108.10090303964452</v>
      </c>
      <c r="K14" s="230">
        <f t="shared" ref="K14:K41" si="2">I14/D14*100</f>
        <v>78.025411064445009</v>
      </c>
    </row>
    <row r="15" spans="1:20" s="201" customFormat="1" ht="15.75">
      <c r="A15" s="185" t="s">
        <v>110</v>
      </c>
      <c r="B15" s="186" t="s">
        <v>184</v>
      </c>
      <c r="C15" s="186" t="s">
        <v>183</v>
      </c>
      <c r="D15" s="192">
        <f>SUM(D16:D22)</f>
        <v>78474.5</v>
      </c>
      <c r="E15" s="192">
        <f t="shared" si="0"/>
        <v>6449.9589041095887</v>
      </c>
      <c r="F15" s="192">
        <f>'BÁO CÁO THÁNG'!E26</f>
        <v>7562</v>
      </c>
      <c r="G15" s="231">
        <f>F15/SUM(T16:T20)*100</f>
        <v>116.23117122656011</v>
      </c>
      <c r="H15" s="230">
        <f t="shared" si="1"/>
        <v>117.24105707374157</v>
      </c>
      <c r="I15" s="192">
        <f>56422+F15</f>
        <v>63984</v>
      </c>
      <c r="J15" s="230">
        <f>I15/SUM(L15:T15)*100</f>
        <v>112.31568599915742</v>
      </c>
      <c r="K15" s="230">
        <f t="shared" si="2"/>
        <v>81.534766070506976</v>
      </c>
      <c r="L15" s="200">
        <f>SUM(L16:L20)</f>
        <v>6372</v>
      </c>
      <c r="M15" s="200">
        <f t="shared" ref="M15:T15" si="3">SUM(M16:M20)</f>
        <v>5962</v>
      </c>
      <c r="N15" s="200">
        <f t="shared" si="3"/>
        <v>6115</v>
      </c>
      <c r="O15" s="200">
        <f t="shared" si="3"/>
        <v>6262</v>
      </c>
      <c r="P15" s="200">
        <f t="shared" si="3"/>
        <v>6406</v>
      </c>
      <c r="Q15" s="200">
        <f t="shared" si="3"/>
        <v>6300</v>
      </c>
      <c r="R15" s="200">
        <f t="shared" si="3"/>
        <v>6613</v>
      </c>
      <c r="S15" s="200">
        <f t="shared" si="3"/>
        <v>6432</v>
      </c>
      <c r="T15" s="200">
        <f t="shared" si="3"/>
        <v>6506</v>
      </c>
    </row>
    <row r="16" spans="1:20" ht="15.75">
      <c r="A16" s="189">
        <v>1</v>
      </c>
      <c r="B16" s="187" t="s">
        <v>185</v>
      </c>
      <c r="C16" s="187" t="s">
        <v>183</v>
      </c>
      <c r="D16" s="190">
        <v>76997</v>
      </c>
      <c r="E16" s="192">
        <f t="shared" si="0"/>
        <v>6328.5205479452061</v>
      </c>
      <c r="F16" s="190">
        <f>F15-F17-F18-F19-F20-F21-F22</f>
        <v>7381</v>
      </c>
      <c r="G16" s="231">
        <f>F16/T16*100</f>
        <v>115.8712715855573</v>
      </c>
      <c r="H16" s="231">
        <f t="shared" si="1"/>
        <v>116.63073453078256</v>
      </c>
      <c r="I16" s="190">
        <f>55221+F16</f>
        <v>62602</v>
      </c>
      <c r="J16" s="230">
        <f t="shared" ref="J16:J20" si="4">I16/SUM(L16:T16)*100</f>
        <v>112.19398544750707</v>
      </c>
      <c r="K16" s="230">
        <f t="shared" si="2"/>
        <v>81.304466407782115</v>
      </c>
      <c r="L16" s="188">
        <f>'[1]BÁO CÁO THÁNG'!$E$7+'[1]BÁO CÁO THÁNG'!$E$8+'[1]BÁO CÁO THÁNG'!$E$9+'[1]BÁO CÁO THÁNG'!$E$10+'[1]BÁO CÁO THÁNG'!$E$11+'[1]BÁO CÁO THÁNG'!$E$12+'[1]BÁO CÁO THÁNG'!$E$13+'[1]BÁO CÁO THÁNG'!$E$14+'[1]BÁO CÁO THÁNG'!$E$15+'[1]BÁO CÁO THÁNG'!$E$21</f>
        <v>6205</v>
      </c>
      <c r="M16" s="188">
        <f>'[2]BÁO CÁO THÁNG'!$E$7+'[2]BÁO CÁO THÁNG'!$E$8+'[2]BÁO CÁO THÁNG'!$E$9+'[2]BÁO CÁO THÁNG'!$E$10+'[2]BÁO CÁO THÁNG'!$E$11+'[2]BÁO CÁO THÁNG'!$E$12+'[2]BÁO CÁO THÁNG'!$E$13+'[2]BÁO CÁO THÁNG'!$E$14+'[2]BÁO CÁO THÁNG'!$E$15+'[2]BÁO CÁO THÁNG'!$E$21</f>
        <v>5840</v>
      </c>
      <c r="N16" s="188">
        <v>6018</v>
      </c>
      <c r="O16" s="188">
        <v>6156</v>
      </c>
      <c r="P16" s="188">
        <v>6271</v>
      </c>
      <c r="Q16" s="188">
        <v>6178</v>
      </c>
      <c r="R16" s="184">
        <v>6480</v>
      </c>
      <c r="S16" s="188">
        <v>6280</v>
      </c>
      <c r="T16" s="188">
        <v>6370</v>
      </c>
    </row>
    <row r="17" spans="1:21" ht="15.75">
      <c r="A17" s="189">
        <v>2</v>
      </c>
      <c r="B17" s="187" t="s">
        <v>186</v>
      </c>
      <c r="C17" s="187" t="s">
        <v>183</v>
      </c>
      <c r="D17" s="190">
        <v>730</v>
      </c>
      <c r="E17" s="192">
        <f t="shared" si="0"/>
        <v>60</v>
      </c>
      <c r="F17" s="190">
        <f>'BÁO CÁO THÁNG'!E17+'BÁO CÁO THÁNG'!E18</f>
        <v>89</v>
      </c>
      <c r="G17" s="231">
        <f t="shared" ref="G17:G20" si="5">F17/T17*100</f>
        <v>128.98550724637681</v>
      </c>
      <c r="H17" s="231">
        <f t="shared" si="1"/>
        <v>148.33333333333334</v>
      </c>
      <c r="I17" s="190">
        <f>768+F17</f>
        <v>857</v>
      </c>
      <c r="J17" s="230">
        <f t="shared" si="4"/>
        <v>133.28149300155522</v>
      </c>
      <c r="K17" s="230">
        <f t="shared" si="2"/>
        <v>117.39726027397259</v>
      </c>
      <c r="L17" s="188">
        <f>'[1]BÁO CÁO THÁNG'!$E$16+'[1]BÁO CÁO THÁNG'!$E$17+'[1]BÁO CÁO THÁNG'!$E$18</f>
        <v>97</v>
      </c>
      <c r="M17" s="188">
        <f>'[2]BÁO CÁO THÁNG'!$E$16+'[2]BÁO CÁO THÁNG'!$E$17+'[2]BÁO CÁO THÁNG'!$E$18</f>
        <v>75</v>
      </c>
      <c r="N17" s="188">
        <v>50</v>
      </c>
      <c r="O17" s="188">
        <v>46</v>
      </c>
      <c r="P17" s="188">
        <v>73</v>
      </c>
      <c r="Q17" s="188">
        <v>77</v>
      </c>
      <c r="R17" s="184">
        <v>81</v>
      </c>
      <c r="S17" s="188">
        <v>75</v>
      </c>
      <c r="T17" s="188">
        <v>69</v>
      </c>
      <c r="U17" s="188"/>
    </row>
    <row r="18" spans="1:21" ht="15.75">
      <c r="A18" s="189">
        <v>3</v>
      </c>
      <c r="B18" s="187" t="s">
        <v>187</v>
      </c>
      <c r="C18" s="187" t="s">
        <v>183</v>
      </c>
      <c r="D18" s="191">
        <v>365</v>
      </c>
      <c r="E18" s="192">
        <f t="shared" si="0"/>
        <v>30</v>
      </c>
      <c r="F18" s="190">
        <f>'BÁO CÁO THÁNG'!E19</f>
        <v>32</v>
      </c>
      <c r="G18" s="231">
        <f t="shared" si="5"/>
        <v>72.727272727272734</v>
      </c>
      <c r="H18" s="231">
        <f t="shared" si="1"/>
        <v>106.66666666666667</v>
      </c>
      <c r="I18" s="190">
        <f>287+F18</f>
        <v>319</v>
      </c>
      <c r="J18" s="230">
        <f t="shared" si="4"/>
        <v>82.216494845360828</v>
      </c>
      <c r="K18" s="230">
        <f t="shared" si="2"/>
        <v>87.397260273972606</v>
      </c>
      <c r="L18" s="188">
        <f>'[1]BÁO CÁO THÁNG'!$E$19</f>
        <v>69</v>
      </c>
      <c r="M18" s="188">
        <f>'[2]BÁO CÁO THÁNG'!$E$19</f>
        <v>42</v>
      </c>
      <c r="N18" s="188">
        <v>36</v>
      </c>
      <c r="O18" s="188">
        <v>42</v>
      </c>
      <c r="P18" s="188">
        <v>42</v>
      </c>
      <c r="Q18" s="188">
        <v>28</v>
      </c>
      <c r="R18" s="184">
        <v>34</v>
      </c>
      <c r="S18" s="188">
        <v>51</v>
      </c>
      <c r="T18" s="188">
        <v>44</v>
      </c>
      <c r="U18" s="188">
        <f>SUM(L15:T15)</f>
        <v>56968</v>
      </c>
    </row>
    <row r="19" spans="1:21" ht="15.75">
      <c r="A19" s="189">
        <v>4</v>
      </c>
      <c r="B19" s="187" t="s">
        <v>188</v>
      </c>
      <c r="C19" s="187" t="s">
        <v>183</v>
      </c>
      <c r="D19" s="190">
        <v>182</v>
      </c>
      <c r="E19" s="192">
        <f t="shared" si="0"/>
        <v>14.95890410958904</v>
      </c>
      <c r="F19" s="190">
        <f>'BÁO CÁO THÁNG'!E21</f>
        <v>8</v>
      </c>
      <c r="G19" s="231">
        <f t="shared" si="5"/>
        <v>57.142857142857139</v>
      </c>
      <c r="H19" s="231">
        <f t="shared" si="1"/>
        <v>53.479853479853482</v>
      </c>
      <c r="I19" s="190">
        <f>36+F19</f>
        <v>44</v>
      </c>
      <c r="J19" s="230">
        <f t="shared" si="4"/>
        <v>50.574712643678168</v>
      </c>
      <c r="K19" s="230">
        <f t="shared" si="2"/>
        <v>24.175824175824175</v>
      </c>
      <c r="L19" s="188">
        <f>'[1]BÁO CÁO THÁNG'!$E$22</f>
        <v>1</v>
      </c>
      <c r="M19" s="188">
        <f>'[2]BÁO CÁO THÁNG'!$E$22</f>
        <v>5</v>
      </c>
      <c r="N19" s="188">
        <v>6</v>
      </c>
      <c r="O19" s="188">
        <v>12</v>
      </c>
      <c r="P19" s="188">
        <v>15</v>
      </c>
      <c r="Q19" s="188">
        <v>9</v>
      </c>
      <c r="R19" s="184">
        <v>9</v>
      </c>
      <c r="S19" s="188">
        <v>16</v>
      </c>
      <c r="T19" s="188">
        <v>14</v>
      </c>
    </row>
    <row r="20" spans="1:21" ht="15.75">
      <c r="A20" s="189">
        <v>5</v>
      </c>
      <c r="B20" s="187" t="s">
        <v>189</v>
      </c>
      <c r="C20" s="187" t="s">
        <v>183</v>
      </c>
      <c r="D20" s="190">
        <v>182.5</v>
      </c>
      <c r="E20" s="192">
        <f t="shared" si="0"/>
        <v>15</v>
      </c>
      <c r="F20" s="190">
        <f>'BÁO CÁO THÁNG'!E23+'BÁO CÁO THÁNG'!E24</f>
        <v>43</v>
      </c>
      <c r="G20" s="231">
        <f t="shared" si="5"/>
        <v>477.77777777777777</v>
      </c>
      <c r="H20" s="231">
        <f t="shared" si="1"/>
        <v>286.66666666666669</v>
      </c>
      <c r="I20" s="190">
        <f>81+F20</f>
        <v>124</v>
      </c>
      <c r="J20" s="230">
        <f t="shared" si="4"/>
        <v>238.46153846153845</v>
      </c>
      <c r="K20" s="230">
        <f t="shared" si="2"/>
        <v>67.945205479452056</v>
      </c>
      <c r="N20" s="184">
        <v>5</v>
      </c>
      <c r="O20" s="188">
        <v>6</v>
      </c>
      <c r="P20" s="188">
        <v>5</v>
      </c>
      <c r="Q20" s="188">
        <v>8</v>
      </c>
      <c r="R20" s="184">
        <v>9</v>
      </c>
      <c r="S20" s="188">
        <v>10</v>
      </c>
      <c r="T20" s="188">
        <v>9</v>
      </c>
    </row>
    <row r="21" spans="1:21" ht="15.75">
      <c r="A21" s="189">
        <v>6</v>
      </c>
      <c r="B21" s="187" t="s">
        <v>222</v>
      </c>
      <c r="C21" s="187" t="s">
        <v>183</v>
      </c>
      <c r="D21" s="190">
        <v>8</v>
      </c>
      <c r="E21" s="192">
        <f t="shared" si="0"/>
        <v>0.65753424657534243</v>
      </c>
      <c r="F21" s="190">
        <f>'BÁO CÁO THÁNG'!E22</f>
        <v>4</v>
      </c>
      <c r="G21" s="231"/>
      <c r="H21" s="231"/>
      <c r="I21" s="190">
        <v>16</v>
      </c>
      <c r="J21" s="231"/>
      <c r="K21" s="230"/>
      <c r="M21" s="188"/>
      <c r="O21" s="188"/>
      <c r="P21" s="188"/>
    </row>
    <row r="22" spans="1:21" ht="15.75">
      <c r="A22" s="189">
        <v>7</v>
      </c>
      <c r="B22" s="187" t="s">
        <v>223</v>
      </c>
      <c r="C22" s="187" t="s">
        <v>183</v>
      </c>
      <c r="D22" s="190">
        <v>10</v>
      </c>
      <c r="E22" s="192">
        <f t="shared" si="0"/>
        <v>0.82191780821917804</v>
      </c>
      <c r="F22" s="190">
        <f>'BÁO CÁO THÁNG'!E25</f>
        <v>5</v>
      </c>
      <c r="G22" s="231"/>
      <c r="H22" s="231"/>
      <c r="I22" s="190">
        <v>22</v>
      </c>
      <c r="J22" s="231"/>
      <c r="K22" s="230"/>
      <c r="M22" s="188"/>
      <c r="O22" s="188"/>
      <c r="P22" s="188"/>
    </row>
    <row r="23" spans="1:21" s="201" customFormat="1" ht="15.75">
      <c r="A23" s="185" t="s">
        <v>190</v>
      </c>
      <c r="B23" s="186" t="s">
        <v>191</v>
      </c>
      <c r="C23" s="186"/>
      <c r="D23" s="192"/>
      <c r="E23" s="192"/>
      <c r="F23" s="192"/>
      <c r="G23" s="230"/>
      <c r="H23" s="230"/>
      <c r="I23" s="192"/>
      <c r="J23" s="230"/>
      <c r="K23" s="230"/>
      <c r="L23" s="201" t="s">
        <v>225</v>
      </c>
      <c r="M23" s="201" t="s">
        <v>226</v>
      </c>
      <c r="N23" s="201" t="s">
        <v>227</v>
      </c>
      <c r="O23" s="201" t="s">
        <v>228</v>
      </c>
      <c r="P23" s="201" t="s">
        <v>229</v>
      </c>
      <c r="Q23" s="201" t="s">
        <v>230</v>
      </c>
      <c r="R23" s="201" t="s">
        <v>231</v>
      </c>
      <c r="S23" s="201" t="s">
        <v>233</v>
      </c>
      <c r="T23" s="201" t="s">
        <v>245</v>
      </c>
    </row>
    <row r="24" spans="1:21" s="201" customFormat="1" ht="15.75">
      <c r="A24" s="185" t="s">
        <v>105</v>
      </c>
      <c r="B24" s="186" t="s">
        <v>51</v>
      </c>
      <c r="C24" s="186" t="s">
        <v>181</v>
      </c>
      <c r="D24" s="192">
        <v>1734700000</v>
      </c>
      <c r="E24" s="192">
        <f t="shared" si="0"/>
        <v>142578082.19178084</v>
      </c>
      <c r="F24" s="192">
        <f>SUM('BÁO CÁO THÁNG'!E37)</f>
        <v>151695520</v>
      </c>
      <c r="G24" s="230">
        <f>F24/T24*100</f>
        <v>93.366027795216468</v>
      </c>
      <c r="H24" s="230">
        <f t="shared" ref="H24:H31" si="6">F24/E24*100</f>
        <v>106.39469802655597</v>
      </c>
      <c r="I24" s="192">
        <f>1159820760+F24</f>
        <v>1311516280</v>
      </c>
      <c r="J24" s="230">
        <f>I24/SUM(L24:T24)*100</f>
        <v>103.42331284856398</v>
      </c>
      <c r="K24" s="230">
        <f t="shared" si="2"/>
        <v>75.604789300743647</v>
      </c>
      <c r="L24" s="232">
        <v>150849076</v>
      </c>
      <c r="M24" s="232">
        <v>109464000</v>
      </c>
      <c r="N24" s="232">
        <v>137921000</v>
      </c>
      <c r="O24" s="232">
        <v>127627000</v>
      </c>
      <c r="P24" s="232">
        <v>141887000</v>
      </c>
      <c r="Q24" s="232">
        <v>147325000</v>
      </c>
      <c r="R24" s="232">
        <v>143773000</v>
      </c>
      <c r="S24" s="233">
        <v>146785000</v>
      </c>
      <c r="T24" s="201">
        <v>162474000</v>
      </c>
    </row>
    <row r="25" spans="1:21" s="201" customFormat="1" ht="15.75">
      <c r="A25" s="185" t="s">
        <v>108</v>
      </c>
      <c r="B25" s="186" t="s">
        <v>192</v>
      </c>
      <c r="C25" s="186" t="s">
        <v>183</v>
      </c>
      <c r="D25" s="192">
        <v>82562</v>
      </c>
      <c r="E25" s="192">
        <f t="shared" si="0"/>
        <v>6785.9178082191784</v>
      </c>
      <c r="F25" s="192">
        <f>SUM(F26:F29)</f>
        <v>7551</v>
      </c>
      <c r="G25" s="230">
        <f>F25/T25*100</f>
        <v>95.910072399339512</v>
      </c>
      <c r="H25" s="230">
        <f t="shared" si="6"/>
        <v>111.27455730239093</v>
      </c>
      <c r="I25" s="192">
        <f>SUM(I26:I29)</f>
        <v>66360</v>
      </c>
      <c r="J25" s="230">
        <f t="shared" ref="J25:J29" si="7">I25/SUM(L25:T25)*100</f>
        <v>113.439775718828</v>
      </c>
      <c r="K25" s="230">
        <f t="shared" si="2"/>
        <v>80.375959884692719</v>
      </c>
      <c r="L25" s="201">
        <f>SUM(L26:L29)</f>
        <v>6933</v>
      </c>
      <c r="M25" s="201">
        <f t="shared" ref="M25:S25" si="8">SUM(M26:M29)</f>
        <v>4588</v>
      </c>
      <c r="N25" s="201">
        <f t="shared" si="8"/>
        <v>6432</v>
      </c>
      <c r="O25" s="201">
        <f t="shared" si="8"/>
        <v>5888</v>
      </c>
      <c r="P25" s="201">
        <f t="shared" si="8"/>
        <v>6408</v>
      </c>
      <c r="Q25" s="201">
        <f t="shared" si="8"/>
        <v>6418</v>
      </c>
      <c r="R25" s="201">
        <f t="shared" si="8"/>
        <v>6462</v>
      </c>
      <c r="S25" s="201">
        <f t="shared" si="8"/>
        <v>7496</v>
      </c>
      <c r="T25" s="201">
        <f>SUM(T26:T29)</f>
        <v>7873</v>
      </c>
    </row>
    <row r="26" spans="1:21" ht="15.75">
      <c r="A26" s="189">
        <v>1</v>
      </c>
      <c r="B26" s="187" t="s">
        <v>193</v>
      </c>
      <c r="C26" s="187" t="s">
        <v>183</v>
      </c>
      <c r="D26" s="190">
        <v>23513</v>
      </c>
      <c r="E26" s="192">
        <f t="shared" si="0"/>
        <v>1932.5753424657532</v>
      </c>
      <c r="F26" s="190">
        <f>'BÁO CÁO THÁNG'!C29</f>
        <v>1540</v>
      </c>
      <c r="G26" s="230">
        <f t="shared" ref="G26:G29" si="9">F26/T26*100</f>
        <v>73.228720874940549</v>
      </c>
      <c r="H26" s="231">
        <f t="shared" si="6"/>
        <v>79.686414607522082</v>
      </c>
      <c r="I26" s="190">
        <f>11506+F26</f>
        <v>13046</v>
      </c>
      <c r="J26" s="230">
        <f t="shared" si="7"/>
        <v>74.049267794301286</v>
      </c>
      <c r="K26" s="230">
        <f t="shared" si="2"/>
        <v>55.484200229660189</v>
      </c>
      <c r="L26" s="184">
        <v>2841</v>
      </c>
      <c r="M26" s="184">
        <v>2086</v>
      </c>
      <c r="N26" s="184">
        <v>2550</v>
      </c>
      <c r="O26" s="184">
        <v>1254</v>
      </c>
      <c r="P26" s="184">
        <v>1625</v>
      </c>
      <c r="Q26" s="184">
        <v>1864</v>
      </c>
      <c r="R26" s="202">
        <v>1704</v>
      </c>
      <c r="S26" s="184">
        <v>1591</v>
      </c>
      <c r="T26" s="184">
        <v>2103</v>
      </c>
    </row>
    <row r="27" spans="1:21" ht="15.75">
      <c r="A27" s="189">
        <v>2</v>
      </c>
      <c r="B27" s="187" t="s">
        <v>208</v>
      </c>
      <c r="C27" s="187" t="s">
        <v>183</v>
      </c>
      <c r="D27" s="190">
        <v>13626</v>
      </c>
      <c r="E27" s="192">
        <f t="shared" si="0"/>
        <v>1119.9452054794522</v>
      </c>
      <c r="F27" s="190">
        <f>'BÁO CÁO THÁNG'!C30+'BÁO CÁO THÁNG'!C32</f>
        <v>1200</v>
      </c>
      <c r="G27" s="230">
        <f t="shared" si="9"/>
        <v>108.10810810810811</v>
      </c>
      <c r="H27" s="231">
        <f t="shared" si="6"/>
        <v>107.14809922207544</v>
      </c>
      <c r="I27" s="190">
        <f>F27+9643</f>
        <v>10843</v>
      </c>
      <c r="J27" s="230">
        <f t="shared" si="7"/>
        <v>107.34580734580734</v>
      </c>
      <c r="K27" s="230">
        <f t="shared" si="2"/>
        <v>79.575810949655065</v>
      </c>
      <c r="L27" s="184">
        <v>1147</v>
      </c>
      <c r="M27" s="184">
        <v>1036</v>
      </c>
      <c r="N27" s="184">
        <v>1147</v>
      </c>
      <c r="O27" s="184">
        <v>1110</v>
      </c>
      <c r="P27" s="184">
        <v>1147</v>
      </c>
      <c r="Q27" s="184">
        <v>1110</v>
      </c>
      <c r="R27" s="202">
        <f>465+682</f>
        <v>1147</v>
      </c>
      <c r="S27" s="184">
        <v>1147</v>
      </c>
      <c r="T27" s="184">
        <v>1110</v>
      </c>
    </row>
    <row r="28" spans="1:21" ht="15.75">
      <c r="A28" s="189">
        <v>3</v>
      </c>
      <c r="B28" s="187" t="s">
        <v>194</v>
      </c>
      <c r="C28" s="187" t="s">
        <v>183</v>
      </c>
      <c r="D28" s="190">
        <v>12572</v>
      </c>
      <c r="E28" s="192">
        <f t="shared" si="0"/>
        <v>1033.3150684931506</v>
      </c>
      <c r="F28" s="190">
        <f>'BÁO CÁO THÁNG'!C33+'BÁO CÁO THÁNG'!C36</f>
        <v>1514</v>
      </c>
      <c r="G28" s="230">
        <f t="shared" si="9"/>
        <v>111.56963890935887</v>
      </c>
      <c r="H28" s="231">
        <f t="shared" si="6"/>
        <v>146.51871884611307</v>
      </c>
      <c r="I28" s="190">
        <f>11112+F28</f>
        <v>12626</v>
      </c>
      <c r="J28" s="230">
        <f t="shared" si="7"/>
        <v>151.44536403982246</v>
      </c>
      <c r="K28" s="230">
        <f t="shared" si="2"/>
        <v>100.42952593063951</v>
      </c>
      <c r="L28" s="184">
        <v>235</v>
      </c>
      <c r="M28" s="184">
        <v>145</v>
      </c>
      <c r="N28" s="184">
        <v>198</v>
      </c>
      <c r="O28" s="184">
        <v>1270</v>
      </c>
      <c r="P28" s="184">
        <v>1291</v>
      </c>
      <c r="Q28" s="184">
        <v>1208</v>
      </c>
      <c r="R28" s="202">
        <v>1303</v>
      </c>
      <c r="S28" s="184">
        <v>1330</v>
      </c>
      <c r="T28" s="184">
        <v>1357</v>
      </c>
    </row>
    <row r="29" spans="1:21" ht="15.75">
      <c r="A29" s="189">
        <v>4</v>
      </c>
      <c r="B29" s="187" t="s">
        <v>195</v>
      </c>
      <c r="C29" s="187" t="s">
        <v>183</v>
      </c>
      <c r="D29" s="190">
        <v>32851</v>
      </c>
      <c r="E29" s="192">
        <f t="shared" si="0"/>
        <v>2700.0821917808221</v>
      </c>
      <c r="F29" s="190">
        <f>'BÁO CÁO THÁNG'!C31</f>
        <v>3297</v>
      </c>
      <c r="G29" s="230">
        <f t="shared" si="9"/>
        <v>99.818346957311533</v>
      </c>
      <c r="H29" s="231">
        <f t="shared" si="6"/>
        <v>122.10739399105049</v>
      </c>
      <c r="I29" s="190">
        <f>26548+F29</f>
        <v>29845</v>
      </c>
      <c r="J29" s="230">
        <f t="shared" si="7"/>
        <v>132.9872560377863</v>
      </c>
      <c r="K29" s="230">
        <f t="shared" si="2"/>
        <v>90.849593619676725</v>
      </c>
      <c r="L29" s="202">
        <v>2710</v>
      </c>
      <c r="M29" s="202">
        <v>1321</v>
      </c>
      <c r="N29" s="202">
        <v>2537</v>
      </c>
      <c r="O29" s="202">
        <v>2254</v>
      </c>
      <c r="P29" s="202">
        <v>2345</v>
      </c>
      <c r="Q29" s="202">
        <v>2236</v>
      </c>
      <c r="R29" s="202">
        <v>2308</v>
      </c>
      <c r="S29" s="184">
        <v>3428</v>
      </c>
      <c r="T29" s="184">
        <v>3303</v>
      </c>
    </row>
    <row r="30" spans="1:21" s="202" customFormat="1" ht="15.75">
      <c r="A30" s="185" t="s">
        <v>198</v>
      </c>
      <c r="B30" s="186" t="s">
        <v>199</v>
      </c>
      <c r="C30" s="187"/>
      <c r="D30" s="190"/>
      <c r="E30" s="192"/>
      <c r="F30" s="190"/>
      <c r="G30" s="231"/>
      <c r="H30" s="231"/>
      <c r="I30" s="190"/>
      <c r="J30" s="231"/>
      <c r="K30" s="230"/>
    </row>
    <row r="31" spans="1:21" s="203" customFormat="1" ht="15.75">
      <c r="A31" s="185" t="s">
        <v>105</v>
      </c>
      <c r="B31" s="186" t="s">
        <v>51</v>
      </c>
      <c r="C31" s="186" t="s">
        <v>181</v>
      </c>
      <c r="D31" s="192">
        <v>3015630200</v>
      </c>
      <c r="E31" s="192">
        <f t="shared" si="0"/>
        <v>247860016.43835616</v>
      </c>
      <c r="F31" s="192">
        <v>252652500</v>
      </c>
      <c r="G31" s="230">
        <v>145.19999999999999</v>
      </c>
      <c r="H31" s="231">
        <f t="shared" si="6"/>
        <v>101.93354443790888</v>
      </c>
      <c r="I31" s="192">
        <f>1995977850+F31</f>
        <v>2248630350</v>
      </c>
      <c r="J31" s="230">
        <v>143.19999999999999</v>
      </c>
      <c r="K31" s="230">
        <f>I31/D31*100</f>
        <v>74.565851940334056</v>
      </c>
    </row>
    <row r="32" spans="1:21" s="203" customFormat="1" ht="15.75">
      <c r="A32" s="185" t="s">
        <v>108</v>
      </c>
      <c r="B32" s="186" t="s">
        <v>192</v>
      </c>
      <c r="C32" s="186" t="s">
        <v>183</v>
      </c>
      <c r="D32" s="192"/>
      <c r="E32" s="192"/>
      <c r="F32" s="192"/>
      <c r="G32" s="230"/>
      <c r="H32" s="230"/>
      <c r="I32" s="192"/>
      <c r="J32" s="230"/>
      <c r="K32" s="230"/>
    </row>
    <row r="33" spans="1:12" s="202" customFormat="1" ht="15.75">
      <c r="A33" s="189">
        <v>1</v>
      </c>
      <c r="B33" s="187" t="s">
        <v>200</v>
      </c>
      <c r="C33" s="187" t="s">
        <v>183</v>
      </c>
      <c r="D33" s="190">
        <v>539400</v>
      </c>
      <c r="E33" s="192">
        <f t="shared" si="0"/>
        <v>44334.246575342469</v>
      </c>
      <c r="F33" s="190">
        <v>45600</v>
      </c>
      <c r="G33" s="231"/>
      <c r="H33" s="231">
        <f t="shared" ref="H33:H41" si="10">F33/E33*100</f>
        <v>102.85502410085279</v>
      </c>
      <c r="I33" s="190">
        <v>404275</v>
      </c>
      <c r="J33" s="231"/>
      <c r="K33" s="230">
        <f t="shared" si="2"/>
        <v>74.949017426770482</v>
      </c>
    </row>
    <row r="34" spans="1:12" s="202" customFormat="1" ht="15.75">
      <c r="A34" s="189">
        <v>2</v>
      </c>
      <c r="B34" s="187" t="s">
        <v>201</v>
      </c>
      <c r="C34" s="187" t="s">
        <v>183</v>
      </c>
      <c r="D34" s="190">
        <v>16608400</v>
      </c>
      <c r="E34" s="192">
        <f t="shared" si="0"/>
        <v>1365073.9726027397</v>
      </c>
      <c r="F34" s="190">
        <v>1404024</v>
      </c>
      <c r="G34" s="231"/>
      <c r="H34" s="231">
        <f t="shared" si="10"/>
        <v>102.8533272320031</v>
      </c>
      <c r="I34" s="190">
        <v>12447766</v>
      </c>
      <c r="J34" s="231"/>
      <c r="K34" s="230">
        <f t="shared" si="2"/>
        <v>74.948616362804358</v>
      </c>
    </row>
    <row r="35" spans="1:12" s="203" customFormat="1" ht="15.75">
      <c r="A35" s="185" t="s">
        <v>202</v>
      </c>
      <c r="B35" s="186" t="s">
        <v>203</v>
      </c>
      <c r="C35" s="186"/>
      <c r="D35" s="192">
        <v>2486799700</v>
      </c>
      <c r="E35" s="192">
        <f t="shared" si="0"/>
        <v>204394495.89041096</v>
      </c>
      <c r="F35" s="192">
        <v>260517600</v>
      </c>
      <c r="G35" s="230">
        <v>118.8</v>
      </c>
      <c r="H35" s="230">
        <f t="shared" si="10"/>
        <v>127.45822673213287</v>
      </c>
      <c r="I35" s="192">
        <f>SUM(I36:I40)</f>
        <v>2199143700</v>
      </c>
      <c r="J35" s="230">
        <v>117.6</v>
      </c>
      <c r="K35" s="230">
        <f t="shared" si="2"/>
        <v>88.43268317910767</v>
      </c>
    </row>
    <row r="36" spans="1:12" s="202" customFormat="1" ht="15.75">
      <c r="A36" s="189">
        <v>1</v>
      </c>
      <c r="B36" s="187" t="s">
        <v>204</v>
      </c>
      <c r="C36" s="187"/>
      <c r="D36" s="190">
        <v>2065968300</v>
      </c>
      <c r="E36" s="192">
        <f t="shared" si="0"/>
        <v>169805613.69863012</v>
      </c>
      <c r="F36" s="190">
        <v>214513000</v>
      </c>
      <c r="G36" s="231">
        <v>119.7</v>
      </c>
      <c r="H36" s="231">
        <f t="shared" si="10"/>
        <v>126.32856790042068</v>
      </c>
      <c r="I36" s="190">
        <f>1574163000+F36</f>
        <v>1788676000</v>
      </c>
      <c r="J36" s="231">
        <v>115.4</v>
      </c>
      <c r="K36" s="230">
        <f t="shared" si="2"/>
        <v>86.578095123724793</v>
      </c>
    </row>
    <row r="37" spans="1:12" s="202" customFormat="1" ht="15.75">
      <c r="A37" s="189">
        <v>2</v>
      </c>
      <c r="B37" s="187" t="s">
        <v>205</v>
      </c>
      <c r="C37" s="187"/>
      <c r="D37" s="190">
        <v>273975900</v>
      </c>
      <c r="E37" s="192">
        <f t="shared" si="0"/>
        <v>22518567.12328767</v>
      </c>
      <c r="F37" s="190">
        <v>30924600</v>
      </c>
      <c r="G37" s="231">
        <v>114.5</v>
      </c>
      <c r="H37" s="231">
        <f t="shared" si="10"/>
        <v>137.32934174137213</v>
      </c>
      <c r="I37" s="190">
        <f>230595100+F37</f>
        <v>261519700</v>
      </c>
      <c r="J37" s="231">
        <v>134</v>
      </c>
      <c r="K37" s="230">
        <f t="shared" si="2"/>
        <v>95.453541716625452</v>
      </c>
    </row>
    <row r="38" spans="1:12" s="202" customFormat="1" ht="15.75">
      <c r="A38" s="189">
        <v>3</v>
      </c>
      <c r="B38" s="187" t="s">
        <v>206</v>
      </c>
      <c r="C38" s="187"/>
      <c r="D38" s="190">
        <v>14855500</v>
      </c>
      <c r="E38" s="192">
        <f t="shared" si="0"/>
        <v>1221000</v>
      </c>
      <c r="F38" s="190">
        <v>1236000</v>
      </c>
      <c r="G38" s="231">
        <v>102.5</v>
      </c>
      <c r="H38" s="231">
        <f t="shared" si="10"/>
        <v>101.22850122850122</v>
      </c>
      <c r="I38" s="190">
        <f>7724000+F38</f>
        <v>8960000</v>
      </c>
      <c r="J38" s="231">
        <v>77.2</v>
      </c>
      <c r="K38" s="230">
        <f t="shared" si="2"/>
        <v>60.314361684224693</v>
      </c>
    </row>
    <row r="39" spans="1:12" s="202" customFormat="1" ht="15.75">
      <c r="A39" s="189"/>
      <c r="B39" s="187" t="s">
        <v>207</v>
      </c>
      <c r="C39" s="187"/>
      <c r="D39" s="190">
        <v>132000000</v>
      </c>
      <c r="E39" s="192">
        <f t="shared" si="0"/>
        <v>10849315.06849315</v>
      </c>
      <c r="F39" s="190">
        <v>11500000</v>
      </c>
      <c r="G39" s="231">
        <v>97.4</v>
      </c>
      <c r="H39" s="231">
        <f t="shared" si="10"/>
        <v>105.99747474747477</v>
      </c>
      <c r="I39" s="190">
        <f>92000000+F39</f>
        <v>103500000</v>
      </c>
      <c r="J39" s="231">
        <v>96.1</v>
      </c>
      <c r="K39" s="230">
        <f t="shared" si="2"/>
        <v>78.409090909090907</v>
      </c>
    </row>
    <row r="40" spans="1:12" s="202" customFormat="1" ht="15.75">
      <c r="A40" s="189">
        <v>5</v>
      </c>
      <c r="B40" s="229" t="s">
        <v>224</v>
      </c>
      <c r="C40" s="187"/>
      <c r="D40" s="190"/>
      <c r="E40" s="192"/>
      <c r="F40" s="190">
        <v>2344000</v>
      </c>
      <c r="G40" s="231"/>
      <c r="H40" s="231"/>
      <c r="I40" s="190">
        <f>34144000+F40</f>
        <v>36488000</v>
      </c>
      <c r="J40" s="231"/>
      <c r="K40" s="230"/>
    </row>
    <row r="41" spans="1:12" ht="15.75">
      <c r="A41" s="288" t="s">
        <v>196</v>
      </c>
      <c r="B41" s="288"/>
      <c r="C41" s="186"/>
      <c r="D41" s="192">
        <f>D13+D24+D31+D35</f>
        <v>13244056100</v>
      </c>
      <c r="E41" s="192">
        <f t="shared" si="0"/>
        <v>1088552556.1643834</v>
      </c>
      <c r="F41" s="192">
        <f>F13+F24+F31+F35</f>
        <v>1247823040</v>
      </c>
      <c r="G41" s="230">
        <v>133.69999999999999</v>
      </c>
      <c r="H41" s="230">
        <f t="shared" si="10"/>
        <v>114.63140047154185</v>
      </c>
      <c r="I41" s="192">
        <f>I13+I24+I31+I35</f>
        <v>10579709040</v>
      </c>
      <c r="J41" s="230">
        <v>131.9</v>
      </c>
      <c r="K41" s="230">
        <f t="shared" si="2"/>
        <v>79.882695755116899</v>
      </c>
    </row>
    <row r="42" spans="1:12">
      <c r="I42" s="188"/>
    </row>
    <row r="43" spans="1:12" s="181" customFormat="1" ht="16.5">
      <c r="A43" s="193"/>
      <c r="B43" s="193"/>
      <c r="C43" s="193"/>
      <c r="D43" s="193"/>
      <c r="E43" s="193"/>
      <c r="F43" s="198"/>
      <c r="G43" s="289" t="s">
        <v>242</v>
      </c>
      <c r="H43" s="289"/>
      <c r="I43" s="289"/>
      <c r="J43" s="289"/>
      <c r="K43" s="289"/>
    </row>
    <row r="44" spans="1:12" s="181" customFormat="1" ht="16.5">
      <c r="A44" s="193"/>
      <c r="B44" s="194" t="s">
        <v>197</v>
      </c>
      <c r="C44" s="193"/>
      <c r="D44" s="193"/>
      <c r="E44" s="193"/>
      <c r="F44" s="198"/>
      <c r="G44" s="271" t="s">
        <v>147</v>
      </c>
      <c r="H44" s="271"/>
      <c r="I44" s="271"/>
      <c r="J44" s="271"/>
      <c r="K44" s="271"/>
      <c r="L44" s="181" t="s">
        <v>72</v>
      </c>
    </row>
    <row r="45" spans="1:12" s="181" customFormat="1" ht="16.5">
      <c r="A45" s="193"/>
      <c r="B45" s="195" t="s">
        <v>146</v>
      </c>
      <c r="C45" s="196"/>
      <c r="D45" s="193"/>
      <c r="E45" s="193"/>
      <c r="F45" s="198"/>
      <c r="G45" s="193"/>
      <c r="H45" s="193"/>
      <c r="I45" s="193"/>
      <c r="J45" s="193"/>
      <c r="K45" s="182"/>
    </row>
    <row r="46" spans="1:12" s="181" customFormat="1" ht="16.5">
      <c r="A46" s="193"/>
      <c r="B46" s="197" t="s">
        <v>232</v>
      </c>
      <c r="C46" s="193"/>
      <c r="D46" s="193"/>
      <c r="E46" s="193"/>
      <c r="F46" s="193"/>
      <c r="G46" s="193"/>
      <c r="H46" s="193"/>
      <c r="I46" s="198"/>
      <c r="J46" s="193"/>
      <c r="K46" s="182"/>
      <c r="L46" s="181" t="s">
        <v>72</v>
      </c>
    </row>
    <row r="47" spans="1:12" customFormat="1" ht="12.75">
      <c r="A47" s="83"/>
      <c r="C47" s="83"/>
      <c r="D47" s="83"/>
      <c r="E47" s="83"/>
      <c r="F47" s="199"/>
      <c r="G47" s="83"/>
      <c r="H47" s="83"/>
      <c r="I47" s="199"/>
      <c r="J47" s="83"/>
      <c r="K47" s="84"/>
    </row>
    <row r="48" spans="1:12" customFormat="1">
      <c r="B48" s="184"/>
      <c r="I48" t="s">
        <v>72</v>
      </c>
    </row>
  </sheetData>
  <mergeCells count="23">
    <mergeCell ref="G44:K44"/>
    <mergeCell ref="F9:H9"/>
    <mergeCell ref="I9:K9"/>
    <mergeCell ref="D10:D11"/>
    <mergeCell ref="E10:E11"/>
    <mergeCell ref="F10:F11"/>
    <mergeCell ref="A1:C1"/>
    <mergeCell ref="D1:K1"/>
    <mergeCell ref="A2:C2"/>
    <mergeCell ref="D2:K2"/>
    <mergeCell ref="A7:K7"/>
    <mergeCell ref="A3:C3"/>
    <mergeCell ref="A4:K4"/>
    <mergeCell ref="A5:K5"/>
    <mergeCell ref="A9:A11"/>
    <mergeCell ref="B9:B11"/>
    <mergeCell ref="C9:C11"/>
    <mergeCell ref="A41:B41"/>
    <mergeCell ref="G43:K43"/>
    <mergeCell ref="J10:K10"/>
    <mergeCell ref="G10:H10"/>
    <mergeCell ref="I10:I11"/>
    <mergeCell ref="D9:E9"/>
  </mergeCells>
  <phoneticPr fontId="9" type="noConversion"/>
  <pageMargins left="0.5" right="0.75" top="0.57999999999999996" bottom="0.59" header="0.5" footer="0.5"/>
  <pageSetup paperSize="9" orientation="landscape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80"/>
  <sheetViews>
    <sheetView topLeftCell="A59" workbookViewId="0">
      <selection activeCell="I68" sqref="I68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7</v>
      </c>
      <c r="E8" s="34">
        <f>SUM(E9:E12)</f>
        <v>8</v>
      </c>
      <c r="F8" s="34">
        <f>F9</f>
        <v>24</v>
      </c>
      <c r="G8" s="34">
        <f>G10+G11+G12</f>
        <v>196</v>
      </c>
      <c r="H8" s="35">
        <f>SUM(H9:H12)</f>
        <v>220</v>
      </c>
      <c r="I8" s="35">
        <f>SUM(I9:I12)</f>
        <v>229</v>
      </c>
      <c r="J8" s="35">
        <f>SUM(J9:J12)</f>
        <v>760000</v>
      </c>
      <c r="K8" s="35">
        <f>SUM(K9:K12)</f>
        <v>300800</v>
      </c>
      <c r="L8" s="34">
        <f>L9+L10+L11+L12</f>
        <v>0</v>
      </c>
      <c r="M8" s="35">
        <f>SUM(M9:M12)</f>
        <v>1060800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6</v>
      </c>
      <c r="E10" s="235">
        <f>D10</f>
        <v>6</v>
      </c>
      <c r="F10" s="235"/>
      <c r="G10" s="235">
        <v>164</v>
      </c>
      <c r="H10" s="30">
        <f>G10</f>
        <v>164</v>
      </c>
      <c r="I10" s="30">
        <f>H10+E10</f>
        <v>170</v>
      </c>
      <c r="J10" s="30">
        <f>3200*I10</f>
        <v>544000</v>
      </c>
      <c r="K10" s="30">
        <f t="shared" ref="K10:K19" si="0">1600*H10</f>
        <v>262400</v>
      </c>
      <c r="L10" s="46"/>
      <c r="M10" s="43">
        <f>J10+K10</f>
        <v>806400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24</v>
      </c>
      <c r="D13" s="37">
        <f>D15+D16+D17+D18+D19</f>
        <v>32</v>
      </c>
      <c r="E13" s="37">
        <f>SUM(E14:E19)</f>
        <v>56</v>
      </c>
      <c r="F13" s="37">
        <f>F14</f>
        <v>360</v>
      </c>
      <c r="G13" s="37">
        <f>G15+G16+G17+G18+G19</f>
        <v>480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7">
        <f>L14+L15+L16+L17+L18+L19</f>
        <v>0</v>
      </c>
      <c r="M13" s="38">
        <f>SUM(M14:M19)</f>
        <v>4211200</v>
      </c>
    </row>
    <row r="14" spans="1:13">
      <c r="A14" s="12"/>
      <c r="B14" s="1" t="s">
        <v>3</v>
      </c>
      <c r="C14" s="235">
        <v>24</v>
      </c>
      <c r="D14" s="235"/>
      <c r="E14" s="235">
        <f>C14</f>
        <v>24</v>
      </c>
      <c r="F14" s="235">
        <f>C14*15</f>
        <v>360</v>
      </c>
      <c r="G14" s="235"/>
      <c r="H14" s="30">
        <f>F14</f>
        <v>360</v>
      </c>
      <c r="I14" s="30">
        <f t="shared" ref="I14:I19" si="1">H14+E14</f>
        <v>384</v>
      </c>
      <c r="J14" s="30">
        <f t="shared" ref="J14:J19" si="2">3200*I14</f>
        <v>1228800</v>
      </c>
      <c r="K14" s="30">
        <f t="shared" si="0"/>
        <v>576000</v>
      </c>
      <c r="L14" s="46"/>
      <c r="M14" s="43">
        <f t="shared" ref="M14:M19" si="3">J14+K14</f>
        <v>1804800</v>
      </c>
    </row>
    <row r="15" spans="1:13">
      <c r="A15" s="12"/>
      <c r="B15" s="1" t="s">
        <v>6</v>
      </c>
      <c r="C15" s="235"/>
      <c r="D15" s="235">
        <v>12</v>
      </c>
      <c r="E15" s="235">
        <f>D15</f>
        <v>12</v>
      </c>
      <c r="F15" s="235"/>
      <c r="G15" s="235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127</v>
      </c>
      <c r="E20" s="37">
        <f>E21</f>
        <v>127</v>
      </c>
      <c r="F20" s="37"/>
      <c r="G20" s="37">
        <f t="shared" ref="G20:M20" si="4">G21</f>
        <v>2211</v>
      </c>
      <c r="H20" s="37">
        <f t="shared" si="4"/>
        <v>2211</v>
      </c>
      <c r="I20" s="37">
        <f t="shared" si="4"/>
        <v>2349</v>
      </c>
      <c r="J20" s="37">
        <f t="shared" si="4"/>
        <v>7516800</v>
      </c>
      <c r="K20" s="37">
        <f t="shared" si="4"/>
        <v>0</v>
      </c>
      <c r="L20" s="47">
        <f t="shared" si="4"/>
        <v>0</v>
      </c>
      <c r="M20" s="38">
        <f t="shared" si="4"/>
        <v>7516800</v>
      </c>
    </row>
    <row r="21" spans="1:13">
      <c r="A21" s="10"/>
      <c r="B21" s="24" t="s">
        <v>19</v>
      </c>
      <c r="C21" s="235"/>
      <c r="D21" s="235">
        <v>127</v>
      </c>
      <c r="E21" s="235">
        <f>D21</f>
        <v>127</v>
      </c>
      <c r="F21" s="235"/>
      <c r="G21" s="235">
        <v>2211</v>
      </c>
      <c r="H21" s="30">
        <f>G20</f>
        <v>2211</v>
      </c>
      <c r="I21" s="30">
        <v>2349</v>
      </c>
      <c r="J21" s="30">
        <f>3200*I21</f>
        <v>7516800</v>
      </c>
      <c r="K21" s="30"/>
      <c r="L21" s="46"/>
      <c r="M21" s="43">
        <f>J21+K21</f>
        <v>7516800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4</v>
      </c>
      <c r="E28" s="37">
        <f>E29+E30</f>
        <v>8</v>
      </c>
      <c r="F28" s="37">
        <f>F29</f>
        <v>96</v>
      </c>
      <c r="G28" s="37">
        <f>G30</f>
        <v>96</v>
      </c>
      <c r="H28" s="38">
        <f t="shared" ref="H28:M28" si="8">H29+H30</f>
        <v>192</v>
      </c>
      <c r="I28" s="38">
        <f t="shared" si="8"/>
        <v>200</v>
      </c>
      <c r="J28" s="38">
        <f t="shared" si="8"/>
        <v>640000</v>
      </c>
      <c r="K28" s="38">
        <f t="shared" si="8"/>
        <v>307200</v>
      </c>
      <c r="L28" s="48">
        <f t="shared" si="8"/>
        <v>0</v>
      </c>
      <c r="M28" s="216">
        <f t="shared" si="8"/>
        <v>947200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96</v>
      </c>
      <c r="G29" s="235"/>
      <c r="H29" s="30">
        <f>F29</f>
        <v>96</v>
      </c>
      <c r="I29" s="30">
        <f>H29+E29</f>
        <v>100</v>
      </c>
      <c r="J29" s="30">
        <f>3200*I29</f>
        <v>320000</v>
      </c>
      <c r="K29" s="30">
        <f>1600*H29</f>
        <v>153600</v>
      </c>
      <c r="L29" s="46"/>
      <c r="M29" s="43">
        <f>J29+K29</f>
        <v>473600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96</v>
      </c>
      <c r="H30" s="30">
        <f>G30</f>
        <v>96</v>
      </c>
      <c r="I30" s="30">
        <f>H30+E30</f>
        <v>100</v>
      </c>
      <c r="J30" s="30">
        <f>3200*I30</f>
        <v>320000</v>
      </c>
      <c r="K30" s="30">
        <f>1600*H30</f>
        <v>153600</v>
      </c>
      <c r="L30" s="46"/>
      <c r="M30" s="43">
        <f>J30+K30+M62</f>
        <v>473600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30</v>
      </c>
      <c r="E31" s="37">
        <f t="shared" si="9"/>
        <v>30</v>
      </c>
      <c r="F31" s="37">
        <f t="shared" si="9"/>
        <v>0</v>
      </c>
      <c r="G31" s="37">
        <f t="shared" si="9"/>
        <v>450</v>
      </c>
      <c r="H31" s="37">
        <f t="shared" si="9"/>
        <v>450</v>
      </c>
      <c r="I31" s="37">
        <f t="shared" si="9"/>
        <v>480</v>
      </c>
      <c r="J31" s="37">
        <f t="shared" si="9"/>
        <v>1536000</v>
      </c>
      <c r="K31" s="37">
        <f t="shared" si="9"/>
        <v>0</v>
      </c>
      <c r="L31" s="37">
        <f t="shared" si="9"/>
        <v>0</v>
      </c>
      <c r="M31" s="38">
        <f t="shared" si="9"/>
        <v>1536000</v>
      </c>
    </row>
    <row r="32" spans="1:13">
      <c r="A32" s="10"/>
      <c r="B32" s="24" t="s">
        <v>19</v>
      </c>
      <c r="C32" s="235"/>
      <c r="D32" s="235">
        <v>30</v>
      </c>
      <c r="E32" s="235">
        <f>D32</f>
        <v>30</v>
      </c>
      <c r="F32" s="235"/>
      <c r="G32" s="235">
        <f>E32*15</f>
        <v>450</v>
      </c>
      <c r="H32" s="30">
        <f>G32</f>
        <v>450</v>
      </c>
      <c r="I32" s="30">
        <f>H32+E32</f>
        <v>480</v>
      </c>
      <c r="J32" s="30">
        <f>3200*I32</f>
        <v>1536000</v>
      </c>
      <c r="K32" s="30"/>
      <c r="L32" s="46"/>
      <c r="M32" s="43">
        <f>J32+K32</f>
        <v>1536000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159</v>
      </c>
      <c r="G33" s="37">
        <f>G35+G36</f>
        <v>285</v>
      </c>
      <c r="H33" s="38">
        <f t="shared" ref="H33:M33" si="10">H34+H35+H36</f>
        <v>444</v>
      </c>
      <c r="I33" s="38">
        <f t="shared" si="10"/>
        <v>461</v>
      </c>
      <c r="J33" s="35">
        <f t="shared" si="10"/>
        <v>1526400</v>
      </c>
      <c r="K33" s="35">
        <f t="shared" si="10"/>
        <v>612800</v>
      </c>
      <c r="L33" s="47">
        <f t="shared" si="10"/>
        <v>0</v>
      </c>
      <c r="M33" s="216">
        <f t="shared" si="10"/>
        <v>2139200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159</v>
      </c>
      <c r="G34" s="235"/>
      <c r="H34" s="30">
        <f>F34</f>
        <v>159</v>
      </c>
      <c r="I34" s="30">
        <f>H34+E34</f>
        <v>165</v>
      </c>
      <c r="J34" s="30">
        <f>3200*I34</f>
        <v>528000</v>
      </c>
      <c r="K34" s="30">
        <f>1600*H34</f>
        <v>254400</v>
      </c>
      <c r="L34" s="46"/>
      <c r="M34" s="43">
        <f>J34+K34</f>
        <v>782400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224</v>
      </c>
      <c r="H35" s="30">
        <f>G35</f>
        <v>224</v>
      </c>
      <c r="I35" s="30">
        <f>H35+E35</f>
        <v>232</v>
      </c>
      <c r="J35" s="30">
        <f>3200*I35</f>
        <v>742400</v>
      </c>
      <c r="K35" s="30">
        <f>1600*H35</f>
        <v>358400</v>
      </c>
      <c r="L35" s="46"/>
      <c r="M35" s="43">
        <f>J35+K35+M63</f>
        <v>1100800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30</v>
      </c>
      <c r="E37" s="37">
        <f>E38</f>
        <v>30</v>
      </c>
      <c r="F37" s="37"/>
      <c r="G37" s="37">
        <f t="shared" ref="G37:M37" si="11">G38</f>
        <v>450</v>
      </c>
      <c r="H37" s="38">
        <f t="shared" si="11"/>
        <v>450</v>
      </c>
      <c r="I37" s="38">
        <f t="shared" si="11"/>
        <v>480</v>
      </c>
      <c r="J37" s="38">
        <f t="shared" si="11"/>
        <v>1920000</v>
      </c>
      <c r="K37" s="38">
        <f t="shared" si="11"/>
        <v>0</v>
      </c>
      <c r="L37" s="48">
        <f t="shared" si="11"/>
        <v>0</v>
      </c>
      <c r="M37" s="216">
        <f t="shared" si="11"/>
        <v>1920000</v>
      </c>
    </row>
    <row r="38" spans="1:13">
      <c r="A38" s="13"/>
      <c r="B38" s="96" t="s">
        <v>128</v>
      </c>
      <c r="C38" s="235"/>
      <c r="D38" s="235">
        <v>30</v>
      </c>
      <c r="E38" s="235">
        <f>D38</f>
        <v>30</v>
      </c>
      <c r="F38" s="235"/>
      <c r="G38" s="235">
        <f>E38*15</f>
        <v>450</v>
      </c>
      <c r="H38" s="30">
        <f>G38</f>
        <v>450</v>
      </c>
      <c r="I38" s="30">
        <f>H38+E38</f>
        <v>480</v>
      </c>
      <c r="J38" s="30">
        <f>4000*I38</f>
        <v>1920000</v>
      </c>
      <c r="K38" s="30"/>
      <c r="L38" s="46"/>
      <c r="M38" s="43">
        <f>J38+K38</f>
        <v>1920000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7</v>
      </c>
      <c r="E49" s="37">
        <f>E50+E51</f>
        <v>7</v>
      </c>
      <c r="F49" s="37"/>
      <c r="G49" s="37">
        <f t="shared" ref="G49:M49" si="16">G50+G51</f>
        <v>118</v>
      </c>
      <c r="H49" s="37">
        <f t="shared" si="16"/>
        <v>118</v>
      </c>
      <c r="I49" s="37">
        <f t="shared" si="16"/>
        <v>125</v>
      </c>
      <c r="J49" s="37">
        <f t="shared" si="16"/>
        <v>487200</v>
      </c>
      <c r="K49" s="37">
        <f t="shared" si="16"/>
        <v>24000</v>
      </c>
      <c r="L49" s="37">
        <f t="shared" si="16"/>
        <v>0</v>
      </c>
      <c r="M49" s="219">
        <f t="shared" si="16"/>
        <v>511200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6</v>
      </c>
      <c r="E51" s="235">
        <f t="shared" si="14"/>
        <v>6</v>
      </c>
      <c r="F51" s="235"/>
      <c r="G51" s="153">
        <v>103</v>
      </c>
      <c r="H51" s="30">
        <f>G51</f>
        <v>103</v>
      </c>
      <c r="I51" s="30">
        <f>H51+E51</f>
        <v>109</v>
      </c>
      <c r="J51" s="30">
        <f>4000*I51</f>
        <v>436000</v>
      </c>
      <c r="K51" s="30"/>
      <c r="L51" s="46"/>
      <c r="M51" s="43">
        <f>J51+K51+(L51*15000)</f>
        <v>436000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1</v>
      </c>
      <c r="E52" s="37">
        <f t="shared" si="17"/>
        <v>1</v>
      </c>
      <c r="F52" s="37">
        <f t="shared" si="17"/>
        <v>0</v>
      </c>
      <c r="G52" s="37">
        <f t="shared" si="17"/>
        <v>42</v>
      </c>
      <c r="H52" s="37">
        <f t="shared" si="17"/>
        <v>42</v>
      </c>
      <c r="I52" s="38">
        <f t="shared" si="17"/>
        <v>44</v>
      </c>
      <c r="J52" s="38">
        <f t="shared" si="17"/>
        <v>245960</v>
      </c>
      <c r="K52" s="38">
        <f t="shared" si="17"/>
        <v>134400</v>
      </c>
      <c r="L52" s="48">
        <f t="shared" si="17"/>
        <v>0</v>
      </c>
      <c r="M52" s="44">
        <f t="shared" si="17"/>
        <v>380360</v>
      </c>
    </row>
    <row r="53" spans="1:13">
      <c r="A53" s="14"/>
      <c r="B53" s="96" t="s">
        <v>215</v>
      </c>
      <c r="C53" s="29"/>
      <c r="D53" s="29">
        <v>1</v>
      </c>
      <c r="E53" s="29">
        <f>D53</f>
        <v>1</v>
      </c>
      <c r="F53" s="29"/>
      <c r="G53" s="29">
        <v>42</v>
      </c>
      <c r="H53" s="31">
        <f>G53</f>
        <v>42</v>
      </c>
      <c r="I53" s="31">
        <f>H53+E53*2</f>
        <v>44</v>
      </c>
      <c r="J53" s="30">
        <f>5590*I53</f>
        <v>245960</v>
      </c>
      <c r="K53" s="30">
        <f>3200*H53</f>
        <v>134400</v>
      </c>
      <c r="L53" s="49"/>
      <c r="M53" s="43">
        <f>J53+K53</f>
        <v>380360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45</v>
      </c>
      <c r="H58" s="170">
        <f>H59</f>
        <v>45</v>
      </c>
      <c r="I58" s="170">
        <f>I59</f>
        <v>47</v>
      </c>
      <c r="J58" s="170">
        <f>J59</f>
        <v>202100</v>
      </c>
      <c r="K58" s="170">
        <f>K59</f>
        <v>112500</v>
      </c>
      <c r="L58" s="81">
        <f>L59+L63</f>
        <v>0</v>
      </c>
      <c r="M58" s="217">
        <f>M59</f>
        <v>314600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45</v>
      </c>
      <c r="H59" s="31">
        <f>G59</f>
        <v>45</v>
      </c>
      <c r="I59" s="31">
        <f>H59+E59*2</f>
        <v>47</v>
      </c>
      <c r="J59" s="79">
        <f>4300*I59</f>
        <v>202100</v>
      </c>
      <c r="K59" s="31">
        <f>2500*H59</f>
        <v>112500</v>
      </c>
      <c r="L59" s="49"/>
      <c r="M59" s="80">
        <f>J59+K59</f>
        <v>314600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35</v>
      </c>
      <c r="D64" s="42">
        <f>D8+D13+D20+D22+D24+D26+D28+D31+D33+D37+D39+D44+D47+D49+D52+D54+D56+D58</f>
        <v>258</v>
      </c>
      <c r="E64" s="42">
        <f>E8+E13+E20+E22+E24+E26+E28+E31+E33+E37+E39+E44+E47+E49+E52+E54+E56+E58+E60</f>
        <v>293</v>
      </c>
      <c r="F64" s="42">
        <f>F8+F13+F28+F33+F60</f>
        <v>639</v>
      </c>
      <c r="G64" s="42">
        <f>G8+G13+G20+G22+G24+G26+G28+G31+G33+G37+G39+G44+G47+G49+G52+G54+G56+G58</f>
        <v>4673</v>
      </c>
      <c r="H64" s="42">
        <f>H8+H13+H20+H22+H24+H26+H28+H31+H33+H37+H39+H44+H47+H49+H52+H54+H56+H58+H60</f>
        <v>5312</v>
      </c>
      <c r="I64" s="42">
        <f>I8+I13+I20+I22+I24+I26+I28+I31+I33+I37+I39+I44+I47+I49+I52+I54+I56+I58+I60</f>
        <v>5625</v>
      </c>
      <c r="J64" s="42">
        <f>J8+J13+J20+J22+J24+J26+J28+J31+J33+J37+J39+J44+J47+J49+J52+J54+J56+J58</f>
        <v>19153620</v>
      </c>
      <c r="K64" s="42">
        <f>K8+K13+K20+K22+K24+K26+K28+K31+K33+K37+K39+K44+K47+K49+K52+K54+K56+K58</f>
        <v>3349900</v>
      </c>
      <c r="L64" s="50"/>
      <c r="M64" s="42">
        <f>M8+M13+M20+M22+M24+M26+M28+M31+M33+M37+M39+M44+M47+M49+M52+M54+M56+M58+M60+M65+M66</f>
        <v>22588520</v>
      </c>
    </row>
    <row r="65" spans="2:13" ht="14.25" thickTop="1" thickBot="1">
      <c r="D65" s="337"/>
      <c r="E65" s="337"/>
      <c r="J65" s="115"/>
      <c r="K65" s="149" t="s">
        <v>96</v>
      </c>
      <c r="L65" s="147">
        <v>2</v>
      </c>
      <c r="M65" s="149">
        <f>20000*L65</f>
        <v>40000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15</v>
      </c>
      <c r="D67" s="340">
        <f>C67*25000</f>
        <v>375000</v>
      </c>
      <c r="E67" s="341"/>
      <c r="F67" s="131">
        <v>0</v>
      </c>
      <c r="G67" s="145">
        <v>15</v>
      </c>
      <c r="H67" s="119"/>
      <c r="K67" s="97" t="s">
        <v>32</v>
      </c>
      <c r="L67" s="234">
        <f>L65+L66</f>
        <v>5</v>
      </c>
    </row>
    <row r="68" spans="2:13" ht="13.5" thickBot="1">
      <c r="B68" s="120" t="s">
        <v>75</v>
      </c>
      <c r="C68" s="131">
        <f t="shared" ref="C68:C74" si="20">F68+G68</f>
        <v>20</v>
      </c>
      <c r="D68" s="342">
        <f>C68*30000</f>
        <v>600000</v>
      </c>
      <c r="E68" s="343"/>
      <c r="F68" s="122">
        <v>10</v>
      </c>
      <c r="G68" s="139">
        <v>10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16</v>
      </c>
      <c r="D69" s="329">
        <f>C69*35000</f>
        <v>560000</v>
      </c>
      <c r="E69" s="330"/>
      <c r="F69" s="121">
        <v>9</v>
      </c>
      <c r="G69" s="138">
        <v>7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15</v>
      </c>
      <c r="D70" s="329">
        <f>C70*20000</f>
        <v>300000</v>
      </c>
      <c r="E70" s="330"/>
      <c r="F70" s="121">
        <v>9</v>
      </c>
      <c r="G70" s="138">
        <v>6</v>
      </c>
      <c r="H70" s="135"/>
      <c r="I70" s="97"/>
      <c r="K70" s="109" t="s">
        <v>132</v>
      </c>
      <c r="L70" s="163">
        <f>C77</f>
        <v>58.5</v>
      </c>
      <c r="M70" s="110">
        <f>D77</f>
        <v>1835000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108</v>
      </c>
      <c r="M71" s="112">
        <f>D78+D79</f>
        <v>1247000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51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58.5</v>
      </c>
      <c r="D77" s="344">
        <f>SUM(D67:E76)</f>
        <v>1835000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21</v>
      </c>
      <c r="D78" s="346">
        <v>212000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87</v>
      </c>
      <c r="D79" s="348">
        <v>1035000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" right="0" top="1" bottom="1" header="0.5" footer="0.5"/>
  <pageSetup paperSize="9" orientation="landscape" verticalDpi="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80"/>
  <sheetViews>
    <sheetView topLeftCell="A65" workbookViewId="0">
      <selection activeCell="L73" sqref="L73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5</v>
      </c>
      <c r="E8" s="34">
        <f>SUM(E9:E12)</f>
        <v>6</v>
      </c>
      <c r="F8" s="34">
        <f>F9</f>
        <v>24</v>
      </c>
      <c r="G8" s="34">
        <f>G10+G11+G12</f>
        <v>140</v>
      </c>
      <c r="H8" s="35">
        <f>SUM(H9:H12)</f>
        <v>164</v>
      </c>
      <c r="I8" s="35">
        <f>SUM(I9:I12)</f>
        <v>171</v>
      </c>
      <c r="J8" s="35">
        <f>SUM(J9:J12)</f>
        <v>574400</v>
      </c>
      <c r="K8" s="35">
        <f>SUM(K9:K12)</f>
        <v>211200</v>
      </c>
      <c r="L8" s="34">
        <f>L9+L10+L11+L12</f>
        <v>0</v>
      </c>
      <c r="M8" s="35">
        <f>SUM(M9:M12)</f>
        <v>785600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4</v>
      </c>
      <c r="E10" s="235">
        <f>D10</f>
        <v>4</v>
      </c>
      <c r="F10" s="235"/>
      <c r="G10" s="235">
        <v>108</v>
      </c>
      <c r="H10" s="30">
        <f>G10</f>
        <v>108</v>
      </c>
      <c r="I10" s="30">
        <f>H10+E10</f>
        <v>112</v>
      </c>
      <c r="J10" s="30">
        <f>3200*I10</f>
        <v>358400</v>
      </c>
      <c r="K10" s="30">
        <f t="shared" ref="K10:K19" si="0">1600*H10</f>
        <v>172800</v>
      </c>
      <c r="L10" s="46"/>
      <c r="M10" s="43">
        <f>J10+K10</f>
        <v>531200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26</v>
      </c>
      <c r="D13" s="37">
        <f>D15+D16+D17+D18+D19</f>
        <v>33</v>
      </c>
      <c r="E13" s="37">
        <f>SUM(E14:E19)</f>
        <v>59</v>
      </c>
      <c r="F13" s="37">
        <f>F14</f>
        <v>390</v>
      </c>
      <c r="G13" s="37">
        <f>G15+G16+G17+G18+G19</f>
        <v>495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7">
        <f>L14+L15+L16+L17+L18+L19</f>
        <v>0</v>
      </c>
      <c r="M13" s="38">
        <f>SUM(M14:M19)</f>
        <v>4436800</v>
      </c>
    </row>
    <row r="14" spans="1:13">
      <c r="A14" s="12"/>
      <c r="B14" s="1" t="s">
        <v>3</v>
      </c>
      <c r="C14" s="235">
        <v>26</v>
      </c>
      <c r="D14" s="235"/>
      <c r="E14" s="235">
        <f>C14</f>
        <v>26</v>
      </c>
      <c r="F14" s="235">
        <f>C14*15</f>
        <v>390</v>
      </c>
      <c r="G14" s="235"/>
      <c r="H14" s="30">
        <f>F14</f>
        <v>390</v>
      </c>
      <c r="I14" s="30">
        <f t="shared" ref="I14:I19" si="1">H14+E14</f>
        <v>416</v>
      </c>
      <c r="J14" s="30">
        <f t="shared" ref="J14:J19" si="2">3200*I14</f>
        <v>1331200</v>
      </c>
      <c r="K14" s="30">
        <f t="shared" si="0"/>
        <v>624000</v>
      </c>
      <c r="L14" s="46"/>
      <c r="M14" s="43">
        <f t="shared" ref="M14:M19" si="3">J14+K14</f>
        <v>1955200</v>
      </c>
    </row>
    <row r="15" spans="1:13">
      <c r="A15" s="12"/>
      <c r="B15" s="1" t="s">
        <v>6</v>
      </c>
      <c r="C15" s="235"/>
      <c r="D15" s="235">
        <v>12</v>
      </c>
      <c r="E15" s="235">
        <f>D15</f>
        <v>12</v>
      </c>
      <c r="F15" s="235"/>
      <c r="G15" s="235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35"/>
      <c r="D16" s="235">
        <v>18</v>
      </c>
      <c r="E16" s="235">
        <f>D16</f>
        <v>18</v>
      </c>
      <c r="F16" s="235"/>
      <c r="G16" s="235">
        <f>D16*15</f>
        <v>270</v>
      </c>
      <c r="H16" s="30">
        <f>G16</f>
        <v>270</v>
      </c>
      <c r="I16" s="30">
        <f t="shared" si="1"/>
        <v>288</v>
      </c>
      <c r="J16" s="30">
        <f t="shared" si="2"/>
        <v>921600</v>
      </c>
      <c r="K16" s="30">
        <f t="shared" si="0"/>
        <v>432000</v>
      </c>
      <c r="L16" s="46"/>
      <c r="M16" s="43">
        <f t="shared" si="3"/>
        <v>1353600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78</v>
      </c>
      <c r="E20" s="37">
        <f>E21</f>
        <v>78</v>
      </c>
      <c r="F20" s="37"/>
      <c r="G20" s="37">
        <f t="shared" ref="G20:M20" si="4">G21</f>
        <v>1252</v>
      </c>
      <c r="H20" s="37">
        <f t="shared" si="4"/>
        <v>1252</v>
      </c>
      <c r="I20" s="37">
        <f t="shared" si="4"/>
        <v>1333</v>
      </c>
      <c r="J20" s="37">
        <f t="shared" si="4"/>
        <v>4265600</v>
      </c>
      <c r="K20" s="37">
        <f t="shared" si="4"/>
        <v>0</v>
      </c>
      <c r="L20" s="47">
        <f t="shared" si="4"/>
        <v>0</v>
      </c>
      <c r="M20" s="38">
        <f t="shared" si="4"/>
        <v>4265600</v>
      </c>
    </row>
    <row r="21" spans="1:13">
      <c r="A21" s="10"/>
      <c r="B21" s="24" t="s">
        <v>19</v>
      </c>
      <c r="C21" s="235"/>
      <c r="D21" s="235">
        <v>78</v>
      </c>
      <c r="E21" s="235">
        <f>D21</f>
        <v>78</v>
      </c>
      <c r="F21" s="235"/>
      <c r="G21" s="235">
        <v>1252</v>
      </c>
      <c r="H21" s="30">
        <f>G20</f>
        <v>1252</v>
      </c>
      <c r="I21" s="30">
        <v>1333</v>
      </c>
      <c r="J21" s="30">
        <f>3200*I21</f>
        <v>4265600</v>
      </c>
      <c r="K21" s="30"/>
      <c r="L21" s="46"/>
      <c r="M21" s="43">
        <f>J21+K21</f>
        <v>4265600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4</v>
      </c>
      <c r="E28" s="37">
        <f>E29+E30</f>
        <v>8</v>
      </c>
      <c r="F28" s="37">
        <f>F29</f>
        <v>100</v>
      </c>
      <c r="G28" s="37">
        <f>G30</f>
        <v>96</v>
      </c>
      <c r="H28" s="38">
        <f t="shared" ref="H28:M28" si="8">H29+H30</f>
        <v>196</v>
      </c>
      <c r="I28" s="38">
        <f t="shared" si="8"/>
        <v>204</v>
      </c>
      <c r="J28" s="38">
        <f t="shared" si="8"/>
        <v>652800</v>
      </c>
      <c r="K28" s="38">
        <f t="shared" si="8"/>
        <v>313600</v>
      </c>
      <c r="L28" s="48">
        <f t="shared" si="8"/>
        <v>0</v>
      </c>
      <c r="M28" s="216">
        <f t="shared" si="8"/>
        <v>966400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100</v>
      </c>
      <c r="G29" s="235"/>
      <c r="H29" s="30">
        <f>F29</f>
        <v>100</v>
      </c>
      <c r="I29" s="30">
        <f>H29+E29</f>
        <v>104</v>
      </c>
      <c r="J29" s="30">
        <f>3200*I29</f>
        <v>332800</v>
      </c>
      <c r="K29" s="30">
        <f>1600*H29</f>
        <v>160000</v>
      </c>
      <c r="L29" s="46"/>
      <c r="M29" s="43">
        <f>J29+K29</f>
        <v>492800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96</v>
      </c>
      <c r="H30" s="30">
        <f>G30</f>
        <v>96</v>
      </c>
      <c r="I30" s="30">
        <f>H30+E30</f>
        <v>100</v>
      </c>
      <c r="J30" s="30">
        <f>3200*I30</f>
        <v>320000</v>
      </c>
      <c r="K30" s="30">
        <f>1600*H30</f>
        <v>153600</v>
      </c>
      <c r="L30" s="46"/>
      <c r="M30" s="43">
        <f>J30+K30+M62</f>
        <v>473600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24</v>
      </c>
      <c r="E31" s="37">
        <f t="shared" si="9"/>
        <v>24</v>
      </c>
      <c r="F31" s="37">
        <f t="shared" si="9"/>
        <v>0</v>
      </c>
      <c r="G31" s="37">
        <f t="shared" si="9"/>
        <v>360</v>
      </c>
      <c r="H31" s="37">
        <f t="shared" si="9"/>
        <v>360</v>
      </c>
      <c r="I31" s="37">
        <f t="shared" si="9"/>
        <v>384</v>
      </c>
      <c r="J31" s="37">
        <f t="shared" si="9"/>
        <v>1228800</v>
      </c>
      <c r="K31" s="37">
        <f t="shared" si="9"/>
        <v>0</v>
      </c>
      <c r="L31" s="37">
        <f t="shared" si="9"/>
        <v>0</v>
      </c>
      <c r="M31" s="38">
        <f t="shared" si="9"/>
        <v>1228800</v>
      </c>
    </row>
    <row r="32" spans="1:13">
      <c r="A32" s="10"/>
      <c r="B32" s="24" t="s">
        <v>19</v>
      </c>
      <c r="C32" s="235"/>
      <c r="D32" s="235">
        <v>24</v>
      </c>
      <c r="E32" s="235">
        <f>D32</f>
        <v>24</v>
      </c>
      <c r="F32" s="235"/>
      <c r="G32" s="235">
        <f>E32*15</f>
        <v>360</v>
      </c>
      <c r="H32" s="30">
        <f>G32</f>
        <v>360</v>
      </c>
      <c r="I32" s="30">
        <f>H32+E32</f>
        <v>384</v>
      </c>
      <c r="J32" s="30">
        <f>3200*I32</f>
        <v>1228800</v>
      </c>
      <c r="K32" s="30"/>
      <c r="L32" s="46"/>
      <c r="M32" s="43">
        <f>J32+K32</f>
        <v>1228800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151</v>
      </c>
      <c r="G33" s="37">
        <f>G35+G36</f>
        <v>272</v>
      </c>
      <c r="H33" s="38">
        <f t="shared" ref="H33:M33" si="10">H34+H35+H36</f>
        <v>423</v>
      </c>
      <c r="I33" s="38">
        <f t="shared" si="10"/>
        <v>440</v>
      </c>
      <c r="J33" s="35">
        <f t="shared" si="10"/>
        <v>1459200</v>
      </c>
      <c r="K33" s="35">
        <f t="shared" si="10"/>
        <v>579200</v>
      </c>
      <c r="L33" s="47">
        <f t="shared" si="10"/>
        <v>0</v>
      </c>
      <c r="M33" s="216">
        <f t="shared" si="10"/>
        <v>2081600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151</v>
      </c>
      <c r="G34" s="235"/>
      <c r="H34" s="30">
        <f>F34</f>
        <v>151</v>
      </c>
      <c r="I34" s="30">
        <f>H34+E34</f>
        <v>157</v>
      </c>
      <c r="J34" s="30">
        <f>3200*I34</f>
        <v>502400</v>
      </c>
      <c r="K34" s="30">
        <f>1600*H34</f>
        <v>241600</v>
      </c>
      <c r="L34" s="46"/>
      <c r="M34" s="43">
        <f>J34+K34</f>
        <v>744000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211</v>
      </c>
      <c r="H35" s="30">
        <f>G35</f>
        <v>211</v>
      </c>
      <c r="I35" s="30">
        <f>H35+E35</f>
        <v>219</v>
      </c>
      <c r="J35" s="30">
        <f>3200*I35</f>
        <v>700800</v>
      </c>
      <c r="K35" s="30">
        <f>1600*H35</f>
        <v>337600</v>
      </c>
      <c r="L35" s="46"/>
      <c r="M35" s="43">
        <f>J35+K35+M63</f>
        <v>1081600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25</v>
      </c>
      <c r="E37" s="37">
        <f>E38</f>
        <v>25</v>
      </c>
      <c r="F37" s="37"/>
      <c r="G37" s="37">
        <f t="shared" ref="G37:M37" si="11">G38</f>
        <v>375</v>
      </c>
      <c r="H37" s="38">
        <f t="shared" si="11"/>
        <v>375</v>
      </c>
      <c r="I37" s="38">
        <f t="shared" si="11"/>
        <v>400</v>
      </c>
      <c r="J37" s="38">
        <f t="shared" si="11"/>
        <v>1600000</v>
      </c>
      <c r="K37" s="38">
        <f t="shared" si="11"/>
        <v>0</v>
      </c>
      <c r="L37" s="48">
        <f t="shared" si="11"/>
        <v>0</v>
      </c>
      <c r="M37" s="216">
        <f t="shared" si="11"/>
        <v>1600000</v>
      </c>
    </row>
    <row r="38" spans="1:13">
      <c r="A38" s="13"/>
      <c r="B38" s="96" t="s">
        <v>128</v>
      </c>
      <c r="C38" s="235"/>
      <c r="D38" s="235">
        <v>25</v>
      </c>
      <c r="E38" s="235">
        <f>D38</f>
        <v>25</v>
      </c>
      <c r="F38" s="235"/>
      <c r="G38" s="235">
        <f>E38*15</f>
        <v>375</v>
      </c>
      <c r="H38" s="30">
        <f>G38</f>
        <v>375</v>
      </c>
      <c r="I38" s="30">
        <f>H38+E38</f>
        <v>400</v>
      </c>
      <c r="J38" s="30">
        <f>4000*I38</f>
        <v>1600000</v>
      </c>
      <c r="K38" s="30"/>
      <c r="L38" s="46"/>
      <c r="M38" s="43">
        <f>J38+K38</f>
        <v>1600000</v>
      </c>
    </row>
    <row r="39" spans="1:13">
      <c r="A39" s="36">
        <v>11</v>
      </c>
      <c r="B39" s="33" t="s">
        <v>44</v>
      </c>
      <c r="C39" s="37"/>
      <c r="D39" s="37">
        <f>D40+D41+D42+D43</f>
        <v>2</v>
      </c>
      <c r="E39" s="37">
        <f>E40+E41+E42+E43</f>
        <v>2</v>
      </c>
      <c r="F39" s="37"/>
      <c r="G39" s="37">
        <f t="shared" ref="G39:M39" si="12">G40+G41+G42+G43</f>
        <v>82</v>
      </c>
      <c r="H39" s="38">
        <f t="shared" si="12"/>
        <v>82</v>
      </c>
      <c r="I39" s="38">
        <f t="shared" si="12"/>
        <v>86</v>
      </c>
      <c r="J39" s="45">
        <f t="shared" si="12"/>
        <v>421400</v>
      </c>
      <c r="K39" s="45">
        <f t="shared" si="12"/>
        <v>187600</v>
      </c>
      <c r="L39" s="47">
        <f t="shared" si="12"/>
        <v>0</v>
      </c>
      <c r="M39" s="216">
        <f t="shared" si="12"/>
        <v>609000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>
        <v>1</v>
      </c>
      <c r="E43" s="235">
        <f>D43</f>
        <v>1</v>
      </c>
      <c r="F43" s="235"/>
      <c r="G43" s="235">
        <f>E43*38</f>
        <v>38</v>
      </c>
      <c r="H43" s="30">
        <f>G43</f>
        <v>38</v>
      </c>
      <c r="I43" s="30">
        <f>H43+E43*2</f>
        <v>40</v>
      </c>
      <c r="J43" s="30">
        <f>5590*I43</f>
        <v>223600</v>
      </c>
      <c r="K43" s="30">
        <f>3200*H43</f>
        <v>121600</v>
      </c>
      <c r="L43" s="46"/>
      <c r="M43" s="43">
        <f>J43+K43</f>
        <v>345200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4</v>
      </c>
      <c r="E49" s="37">
        <f>E50+E51</f>
        <v>4</v>
      </c>
      <c r="F49" s="37"/>
      <c r="G49" s="37">
        <f t="shared" ref="G49:M49" si="16">G50+G51</f>
        <v>60</v>
      </c>
      <c r="H49" s="37">
        <f t="shared" si="16"/>
        <v>60</v>
      </c>
      <c r="I49" s="37">
        <f t="shared" si="16"/>
        <v>64</v>
      </c>
      <c r="J49" s="37">
        <f t="shared" si="16"/>
        <v>243200</v>
      </c>
      <c r="K49" s="37">
        <f t="shared" si="16"/>
        <v>24000</v>
      </c>
      <c r="L49" s="37">
        <f t="shared" si="16"/>
        <v>0</v>
      </c>
      <c r="M49" s="219">
        <f t="shared" si="16"/>
        <v>267200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3</v>
      </c>
      <c r="E51" s="235">
        <f t="shared" si="14"/>
        <v>3</v>
      </c>
      <c r="F51" s="235"/>
      <c r="G51" s="153">
        <f>E51*15</f>
        <v>45</v>
      </c>
      <c r="H51" s="30">
        <f>G51</f>
        <v>45</v>
      </c>
      <c r="I51" s="30">
        <f>H51+E51</f>
        <v>48</v>
      </c>
      <c r="J51" s="30">
        <f>4000*I51</f>
        <v>192000</v>
      </c>
      <c r="K51" s="30"/>
      <c r="L51" s="46"/>
      <c r="M51" s="43">
        <f>J51+K51+(L51*15000)</f>
        <v>192000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40</v>
      </c>
      <c r="H58" s="170">
        <f>H59</f>
        <v>40</v>
      </c>
      <c r="I58" s="170">
        <f>I59</f>
        <v>42</v>
      </c>
      <c r="J58" s="170">
        <f>J59</f>
        <v>234780</v>
      </c>
      <c r="K58" s="170">
        <f>K59</f>
        <v>128000</v>
      </c>
      <c r="L58" s="81">
        <f>L59+L63</f>
        <v>1</v>
      </c>
      <c r="M58" s="217">
        <f>M59</f>
        <v>362780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40</v>
      </c>
      <c r="H59" s="31">
        <f>G59</f>
        <v>40</v>
      </c>
      <c r="I59" s="31">
        <f>H59+E59*2</f>
        <v>42</v>
      </c>
      <c r="J59" s="79">
        <f>5590*I59</f>
        <v>234780</v>
      </c>
      <c r="K59" s="31">
        <f>3200*H59</f>
        <v>128000</v>
      </c>
      <c r="L59" s="49"/>
      <c r="M59" s="80">
        <f>J59+K59</f>
        <v>362780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37</v>
      </c>
      <c r="D64" s="42">
        <f>D8+D13+D20+D22+D24+D26+D28+D31+D33+D37+D39+D44+D47+D49+D52+D54+D56+D58</f>
        <v>191</v>
      </c>
      <c r="E64" s="42">
        <f>E8+E13+E20+E22+E24+E26+E28+E31+E33+E37+E39+E44+E47+E49+E52+E54+E56+E58+E60</f>
        <v>228</v>
      </c>
      <c r="F64" s="42">
        <f>F8+F13+F28+F33+F60</f>
        <v>665</v>
      </c>
      <c r="G64" s="42">
        <f>G8+G13+G20+G22+G24+G26+G28+G31+G33+G37+G39+G44+G47+G49+G52+G54+G56+G58</f>
        <v>3336</v>
      </c>
      <c r="H64" s="42">
        <f>H8+H13+H20+H22+H24+H26+H28+H31+H33+H37+H39+H44+H47+H49+H52+H54+H56+H58+H60</f>
        <v>4001</v>
      </c>
      <c r="I64" s="42">
        <f>I8+I13+I20+I22+I24+I26+I28+I31+I33+I37+I39+I44+I47+I49+I52+I54+I56+I58+I60</f>
        <v>4240</v>
      </c>
      <c r="J64" s="42">
        <f>J8+J13+J20+J22+J24+J26+J28+J31+J33+J37+J39+J44+J47+J49+J52+J54+J56+J58</f>
        <v>14452140</v>
      </c>
      <c r="K64" s="42">
        <f>K8+K13+K20+K22+K24+K26+K28+K31+K33+K37+K39+K44+K47+K49+K52+K54+K56+K58</f>
        <v>3114000</v>
      </c>
      <c r="L64" s="50"/>
      <c r="M64" s="42">
        <f>M8+M13+M20+M22+M24+M26+M28+M31+M33+M37+M39+M44+M47+M49+M52+M54+M56+M58+M60+M65+M66</f>
        <v>17639340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16</v>
      </c>
      <c r="D67" s="340">
        <f>C67*25000</f>
        <v>400000</v>
      </c>
      <c r="E67" s="341"/>
      <c r="F67" s="131">
        <v>0</v>
      </c>
      <c r="G67" s="145">
        <v>16</v>
      </c>
      <c r="H67" s="119"/>
      <c r="K67" s="97" t="s">
        <v>32</v>
      </c>
      <c r="L67" s="234">
        <f>L65+L66</f>
        <v>2</v>
      </c>
    </row>
    <row r="68" spans="2:13" ht="13.5" thickBot="1">
      <c r="B68" s="120" t="s">
        <v>75</v>
      </c>
      <c r="C68" s="131">
        <f t="shared" ref="C68:C74" si="20">F68+G68</f>
        <v>14</v>
      </c>
      <c r="D68" s="342">
        <f>C68*30000</f>
        <v>420000</v>
      </c>
      <c r="E68" s="343"/>
      <c r="F68" s="122">
        <v>7</v>
      </c>
      <c r="G68" s="139">
        <v>7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15</v>
      </c>
      <c r="D69" s="329">
        <f>C69*35000</f>
        <v>525000</v>
      </c>
      <c r="E69" s="330"/>
      <c r="F69" s="121">
        <v>9</v>
      </c>
      <c r="G69" s="138">
        <v>6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13</v>
      </c>
      <c r="D70" s="329">
        <f>C70*20000</f>
        <v>260000</v>
      </c>
      <c r="E70" s="330"/>
      <c r="F70" s="121">
        <v>12</v>
      </c>
      <c r="G70" s="138">
        <v>1</v>
      </c>
      <c r="H70" s="135"/>
      <c r="I70" s="97"/>
      <c r="K70" s="109" t="s">
        <v>132</v>
      </c>
      <c r="L70" s="163">
        <f>C77</f>
        <v>51.5</v>
      </c>
      <c r="M70" s="110">
        <f>D77</f>
        <v>1605000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100</v>
      </c>
      <c r="M71" s="112">
        <f>D78+D79</f>
        <v>1158000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48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51.5</v>
      </c>
      <c r="D77" s="344">
        <f>SUM(D67:E76)</f>
        <v>1605000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32</v>
      </c>
      <c r="D78" s="346">
        <v>401000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68</v>
      </c>
      <c r="D79" s="348">
        <v>757000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D76" sqref="D76:E76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4</v>
      </c>
      <c r="E8" s="34">
        <f>SUM(E9:E12)</f>
        <v>5</v>
      </c>
      <c r="F8" s="34">
        <f>F9</f>
        <v>24</v>
      </c>
      <c r="G8" s="34">
        <f>G10+G11+G12</f>
        <v>116</v>
      </c>
      <c r="H8" s="35">
        <f>SUM(H9:H12)</f>
        <v>140</v>
      </c>
      <c r="I8" s="35">
        <f>SUM(I9:I12)</f>
        <v>146</v>
      </c>
      <c r="J8" s="35">
        <f>SUM(J9:J12)</f>
        <v>494400</v>
      </c>
      <c r="K8" s="35">
        <f>SUM(K9:K12)</f>
        <v>172800</v>
      </c>
      <c r="L8" s="34">
        <f>L9+L10+L11+L12</f>
        <v>0</v>
      </c>
      <c r="M8" s="35">
        <f>SUM(M9:M12)</f>
        <v>667200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3</v>
      </c>
      <c r="E10" s="235">
        <f>D10</f>
        <v>3</v>
      </c>
      <c r="F10" s="235"/>
      <c r="G10" s="235">
        <v>84</v>
      </c>
      <c r="H10" s="30">
        <f>G10</f>
        <v>84</v>
      </c>
      <c r="I10" s="30">
        <f>H10+E10</f>
        <v>87</v>
      </c>
      <c r="J10" s="30">
        <f>3200*I10</f>
        <v>278400</v>
      </c>
      <c r="K10" s="30">
        <f t="shared" ref="K10:K19" si="0">1600*H10</f>
        <v>134400</v>
      </c>
      <c r="L10" s="46"/>
      <c r="M10" s="43">
        <f>J10+K10</f>
        <v>412800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23</v>
      </c>
      <c r="D13" s="37">
        <f>D15+D16+D17+D18+D19</f>
        <v>30</v>
      </c>
      <c r="E13" s="37">
        <f>SUM(E14:E19)</f>
        <v>53</v>
      </c>
      <c r="F13" s="37">
        <f>F14</f>
        <v>345</v>
      </c>
      <c r="G13" s="37">
        <f>G15+G16+G17+G18+G19</f>
        <v>450</v>
      </c>
      <c r="H13" s="37">
        <f>SUM(H14:H19)</f>
        <v>795</v>
      </c>
      <c r="I13" s="37">
        <f>SUM(I14:I19)</f>
        <v>848</v>
      </c>
      <c r="J13" s="37">
        <f>SUM(J14:J19)</f>
        <v>2713600</v>
      </c>
      <c r="K13" s="37">
        <f>SUM(K14:K19)</f>
        <v>1272000</v>
      </c>
      <c r="L13" s="47">
        <f>L14+L15+L16+L17+L18+L19</f>
        <v>0</v>
      </c>
      <c r="M13" s="38">
        <f>SUM(M14:M19)</f>
        <v>3985600</v>
      </c>
    </row>
    <row r="14" spans="1:13">
      <c r="A14" s="12"/>
      <c r="B14" s="1" t="s">
        <v>3</v>
      </c>
      <c r="C14" s="235">
        <v>23</v>
      </c>
      <c r="D14" s="235"/>
      <c r="E14" s="235">
        <f>C14</f>
        <v>23</v>
      </c>
      <c r="F14" s="235">
        <f>C14*15</f>
        <v>345</v>
      </c>
      <c r="G14" s="235"/>
      <c r="H14" s="30">
        <f>F14</f>
        <v>345</v>
      </c>
      <c r="I14" s="30">
        <f t="shared" ref="I14:I19" si="1">H14+E14</f>
        <v>368</v>
      </c>
      <c r="J14" s="30">
        <f t="shared" ref="J14:J19" si="2">3200*I14</f>
        <v>1177600</v>
      </c>
      <c r="K14" s="30">
        <f t="shared" si="0"/>
        <v>552000</v>
      </c>
      <c r="L14" s="46"/>
      <c r="M14" s="43">
        <f t="shared" ref="M14:M19" si="3">J14+K14</f>
        <v>1729600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/>
      <c r="E18" s="235">
        <f>D18</f>
        <v>0</v>
      </c>
      <c r="F18" s="235"/>
      <c r="G18" s="235">
        <f>D18*15</f>
        <v>0</v>
      </c>
      <c r="H18" s="30">
        <f>G18</f>
        <v>0</v>
      </c>
      <c r="I18" s="30">
        <f t="shared" si="1"/>
        <v>0</v>
      </c>
      <c r="J18" s="30">
        <f t="shared" si="2"/>
        <v>0</v>
      </c>
      <c r="K18" s="30">
        <f t="shared" si="0"/>
        <v>0</v>
      </c>
      <c r="L18" s="46"/>
      <c r="M18" s="43">
        <f t="shared" si="3"/>
        <v>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85</v>
      </c>
      <c r="E20" s="37">
        <f>E21</f>
        <v>85</v>
      </c>
      <c r="F20" s="37"/>
      <c r="G20" s="37">
        <f t="shared" ref="G20:M20" si="4">G21</f>
        <v>1275</v>
      </c>
      <c r="H20" s="37">
        <f t="shared" si="4"/>
        <v>1275</v>
      </c>
      <c r="I20" s="37">
        <f t="shared" si="4"/>
        <v>1360</v>
      </c>
      <c r="J20" s="37">
        <f t="shared" si="4"/>
        <v>4352000</v>
      </c>
      <c r="K20" s="37">
        <f t="shared" si="4"/>
        <v>0</v>
      </c>
      <c r="L20" s="47">
        <f t="shared" si="4"/>
        <v>0</v>
      </c>
      <c r="M20" s="38">
        <f t="shared" si="4"/>
        <v>4352000</v>
      </c>
    </row>
    <row r="21" spans="1:13">
      <c r="A21" s="10"/>
      <c r="B21" s="24" t="s">
        <v>19</v>
      </c>
      <c r="C21" s="235"/>
      <c r="D21" s="235">
        <v>85</v>
      </c>
      <c r="E21" s="235">
        <f>D21</f>
        <v>85</v>
      </c>
      <c r="F21" s="235"/>
      <c r="G21" s="235">
        <f>E21*15</f>
        <v>1275</v>
      </c>
      <c r="H21" s="30">
        <f>G20</f>
        <v>1275</v>
      </c>
      <c r="I21" s="30">
        <f>H21+E21</f>
        <v>1360</v>
      </c>
      <c r="J21" s="30">
        <f>3200*I21</f>
        <v>4352000</v>
      </c>
      <c r="K21" s="30"/>
      <c r="L21" s="46"/>
      <c r="M21" s="43">
        <f>J21+K21</f>
        <v>4352000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4</v>
      </c>
      <c r="E28" s="37">
        <f>E29+E30</f>
        <v>7</v>
      </c>
      <c r="F28" s="37">
        <f>F29</f>
        <v>76</v>
      </c>
      <c r="G28" s="37">
        <f>G30</f>
        <v>100</v>
      </c>
      <c r="H28" s="38">
        <f t="shared" ref="H28:M28" si="8">H29+H30</f>
        <v>176</v>
      </c>
      <c r="I28" s="38">
        <f t="shared" si="8"/>
        <v>183</v>
      </c>
      <c r="J28" s="38">
        <f t="shared" si="8"/>
        <v>585600</v>
      </c>
      <c r="K28" s="38">
        <f t="shared" si="8"/>
        <v>281600</v>
      </c>
      <c r="L28" s="48">
        <f t="shared" si="8"/>
        <v>0</v>
      </c>
      <c r="M28" s="216">
        <f t="shared" si="8"/>
        <v>867200</v>
      </c>
    </row>
    <row r="29" spans="1:13">
      <c r="A29" s="12"/>
      <c r="B29" s="1" t="s">
        <v>3</v>
      </c>
      <c r="C29" s="235">
        <v>3</v>
      </c>
      <c r="D29" s="235"/>
      <c r="E29" s="235">
        <f>C29</f>
        <v>3</v>
      </c>
      <c r="F29" s="235">
        <v>76</v>
      </c>
      <c r="G29" s="235"/>
      <c r="H29" s="30">
        <f>F29</f>
        <v>76</v>
      </c>
      <c r="I29" s="30">
        <f>H29+E29</f>
        <v>79</v>
      </c>
      <c r="J29" s="30">
        <f>3200*I29</f>
        <v>252800</v>
      </c>
      <c r="K29" s="30">
        <f>1600*H29</f>
        <v>121600</v>
      </c>
      <c r="L29" s="46"/>
      <c r="M29" s="43">
        <f>J29+K29</f>
        <v>374400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100</v>
      </c>
      <c r="H30" s="30">
        <f>G30</f>
        <v>100</v>
      </c>
      <c r="I30" s="30">
        <f>H30+E30</f>
        <v>104</v>
      </c>
      <c r="J30" s="30">
        <f>3200*I30</f>
        <v>332800</v>
      </c>
      <c r="K30" s="30">
        <f>1600*H30</f>
        <v>160000</v>
      </c>
      <c r="L30" s="46"/>
      <c r="M30" s="43">
        <f>J30+K30+M62</f>
        <v>492800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26</v>
      </c>
      <c r="E31" s="37">
        <f t="shared" si="9"/>
        <v>26</v>
      </c>
      <c r="F31" s="37">
        <f t="shared" si="9"/>
        <v>0</v>
      </c>
      <c r="G31" s="37">
        <f t="shared" si="9"/>
        <v>390</v>
      </c>
      <c r="H31" s="37">
        <f t="shared" si="9"/>
        <v>390</v>
      </c>
      <c r="I31" s="37">
        <f t="shared" si="9"/>
        <v>416</v>
      </c>
      <c r="J31" s="37">
        <f t="shared" si="9"/>
        <v>1331200</v>
      </c>
      <c r="K31" s="37">
        <f t="shared" si="9"/>
        <v>0</v>
      </c>
      <c r="L31" s="37">
        <f t="shared" si="9"/>
        <v>0</v>
      </c>
      <c r="M31" s="38">
        <f t="shared" si="9"/>
        <v>1331200</v>
      </c>
    </row>
    <row r="32" spans="1:13">
      <c r="A32" s="10"/>
      <c r="B32" s="24" t="s">
        <v>19</v>
      </c>
      <c r="C32" s="235"/>
      <c r="D32" s="235">
        <v>26</v>
      </c>
      <c r="E32" s="235">
        <f>D32</f>
        <v>26</v>
      </c>
      <c r="F32" s="235"/>
      <c r="G32" s="235">
        <f>E32*15</f>
        <v>390</v>
      </c>
      <c r="H32" s="30">
        <f>G32</f>
        <v>390</v>
      </c>
      <c r="I32" s="30">
        <f>H32+E32</f>
        <v>416</v>
      </c>
      <c r="J32" s="30">
        <f>3200*I32</f>
        <v>1331200</v>
      </c>
      <c r="K32" s="30"/>
      <c r="L32" s="46"/>
      <c r="M32" s="43">
        <f>J32+K32</f>
        <v>1331200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151</v>
      </c>
      <c r="G33" s="37">
        <f>G35+G36</f>
        <v>266</v>
      </c>
      <c r="H33" s="38">
        <f t="shared" ref="H33:M33" si="10">H34+H35+H36</f>
        <v>417</v>
      </c>
      <c r="I33" s="38">
        <f t="shared" si="10"/>
        <v>434</v>
      </c>
      <c r="J33" s="35">
        <f t="shared" si="10"/>
        <v>1440000</v>
      </c>
      <c r="K33" s="35">
        <f t="shared" si="10"/>
        <v>569600</v>
      </c>
      <c r="L33" s="47">
        <f t="shared" si="10"/>
        <v>0</v>
      </c>
      <c r="M33" s="216">
        <f t="shared" si="10"/>
        <v>2052800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151</v>
      </c>
      <c r="G34" s="235"/>
      <c r="H34" s="30">
        <f>F34</f>
        <v>151</v>
      </c>
      <c r="I34" s="30">
        <f>H34+E34</f>
        <v>157</v>
      </c>
      <c r="J34" s="30">
        <f>3200*I34</f>
        <v>502400</v>
      </c>
      <c r="K34" s="30">
        <f>1600*H34</f>
        <v>241600</v>
      </c>
      <c r="L34" s="46"/>
      <c r="M34" s="43">
        <f>J34+K34</f>
        <v>744000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205</v>
      </c>
      <c r="H35" s="30">
        <f>G35</f>
        <v>205</v>
      </c>
      <c r="I35" s="30">
        <f>H35+E35</f>
        <v>213</v>
      </c>
      <c r="J35" s="30">
        <f>3200*I35</f>
        <v>681600</v>
      </c>
      <c r="K35" s="30">
        <f>1600*H35</f>
        <v>328000</v>
      </c>
      <c r="L35" s="46"/>
      <c r="M35" s="43">
        <f>J35+K35+M63</f>
        <v>1052800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23</v>
      </c>
      <c r="E37" s="37">
        <f>E38</f>
        <v>23</v>
      </c>
      <c r="F37" s="37"/>
      <c r="G37" s="37">
        <f t="shared" ref="G37:M37" si="11">G38</f>
        <v>345</v>
      </c>
      <c r="H37" s="38">
        <f t="shared" si="11"/>
        <v>345</v>
      </c>
      <c r="I37" s="38">
        <f t="shared" si="11"/>
        <v>368</v>
      </c>
      <c r="J37" s="38">
        <f t="shared" si="11"/>
        <v>1472000</v>
      </c>
      <c r="K37" s="38">
        <f t="shared" si="11"/>
        <v>0</v>
      </c>
      <c r="L37" s="48">
        <f t="shared" si="11"/>
        <v>0</v>
      </c>
      <c r="M37" s="216">
        <f t="shared" si="11"/>
        <v>1472000</v>
      </c>
    </row>
    <row r="38" spans="1:13">
      <c r="A38" s="13"/>
      <c r="B38" s="96" t="s">
        <v>128</v>
      </c>
      <c r="C38" s="235"/>
      <c r="D38" s="235">
        <v>23</v>
      </c>
      <c r="E38" s="235">
        <f>D38</f>
        <v>23</v>
      </c>
      <c r="F38" s="235"/>
      <c r="G38" s="235">
        <f>E38*15</f>
        <v>345</v>
      </c>
      <c r="H38" s="30">
        <f>G38</f>
        <v>345</v>
      </c>
      <c r="I38" s="30">
        <f>H38+E38</f>
        <v>368</v>
      </c>
      <c r="J38" s="30">
        <f>4000*I38</f>
        <v>1472000</v>
      </c>
      <c r="K38" s="30"/>
      <c r="L38" s="46"/>
      <c r="M38" s="43">
        <f>J38+K38</f>
        <v>1472000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75</v>
      </c>
      <c r="H49" s="37">
        <f t="shared" si="16"/>
        <v>75</v>
      </c>
      <c r="I49" s="37">
        <f t="shared" si="16"/>
        <v>80</v>
      </c>
      <c r="J49" s="37">
        <f t="shared" si="16"/>
        <v>307200</v>
      </c>
      <c r="K49" s="37">
        <f t="shared" si="16"/>
        <v>24000</v>
      </c>
      <c r="L49" s="37">
        <f t="shared" si="16"/>
        <v>0</v>
      </c>
      <c r="M49" s="219">
        <f t="shared" si="16"/>
        <v>331200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f>E51*15</f>
        <v>60</v>
      </c>
      <c r="H51" s="30">
        <f>G51</f>
        <v>60</v>
      </c>
      <c r="I51" s="30">
        <f>H51+E51</f>
        <v>64</v>
      </c>
      <c r="J51" s="30">
        <f>4000*I51</f>
        <v>256000</v>
      </c>
      <c r="K51" s="30"/>
      <c r="L51" s="46"/>
      <c r="M51" s="43">
        <f>J51+K51+(L51*15000)</f>
        <v>256000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1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33</v>
      </c>
      <c r="D64" s="42">
        <f>D8+D13+D20+D22+D24+D26+D28+D31+D33+D37+D39+D44+D47+D49+D52+D54+D56+D58</f>
        <v>196</v>
      </c>
      <c r="E64" s="42">
        <f>E8+E13+E20+E22+E24+E26+E28+E31+E33+E37+E39+E44+E47+E49+E52+E54+E56+E58+E60</f>
        <v>229</v>
      </c>
      <c r="F64" s="42">
        <f>F8+F13+F28+F33+F60</f>
        <v>596</v>
      </c>
      <c r="G64" s="42">
        <f>G8+G13+G20+G22+G24+G26+G28+G31+G33+G37+G39+G44+G47+G49+G52+G54+G56+G58</f>
        <v>3325</v>
      </c>
      <c r="H64" s="42">
        <f>H8+H13+H20+H22+H24+H26+H28+H31+H33+H37+H39+H44+H47+H49+H52+H54+H56+H58+H60</f>
        <v>3921</v>
      </c>
      <c r="I64" s="42">
        <f>I8+I13+I20+I22+I24+I26+I28+I31+I33+I37+I39+I44+I47+I49+I52+I54+I56+I58+I60</f>
        <v>4157</v>
      </c>
      <c r="J64" s="42">
        <f>J8+J13+J20+J22+J24+J26+J28+J31+J33+J37+J39+J44+J47+J49+J52+J54+J56+J58</f>
        <v>14092160</v>
      </c>
      <c r="K64" s="42">
        <f>K8+K13+K20+K22+K24+K26+K28+K31+K33+K37+K39+K44+K47+K49+K52+K54+K56+K58</f>
        <v>2890400</v>
      </c>
      <c r="L64" s="50"/>
      <c r="M64" s="42">
        <f>M8+M13+M20+M22+M24+M26+M28+M31+M33+M37+M39+M44+M47+M49+M52+M54+M56+M58+M60+M65+M66</f>
        <v>17085760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4</v>
      </c>
      <c r="M66" s="150">
        <f>15000*L66</f>
        <v>60000</v>
      </c>
    </row>
    <row r="67" spans="2:13">
      <c r="B67" s="144" t="s">
        <v>74</v>
      </c>
      <c r="C67" s="131">
        <f>F67+G67</f>
        <v>19</v>
      </c>
      <c r="D67" s="340">
        <f>C67*25000</f>
        <v>475000</v>
      </c>
      <c r="E67" s="341"/>
      <c r="F67" s="131">
        <v>0</v>
      </c>
      <c r="G67" s="145">
        <v>19</v>
      </c>
      <c r="H67" s="119"/>
      <c r="K67" s="97" t="s">
        <v>32</v>
      </c>
      <c r="L67" s="234">
        <f>L65+L66</f>
        <v>4</v>
      </c>
    </row>
    <row r="68" spans="2:13" ht="13.5" thickBot="1">
      <c r="B68" s="120" t="s">
        <v>75</v>
      </c>
      <c r="C68" s="131">
        <f t="shared" ref="C68:C74" si="20">F68+G68</f>
        <v>15</v>
      </c>
      <c r="D68" s="342">
        <f>C68*30000</f>
        <v>450000</v>
      </c>
      <c r="E68" s="343"/>
      <c r="F68" s="122">
        <v>4</v>
      </c>
      <c r="G68" s="139">
        <v>11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30</v>
      </c>
      <c r="D69" s="329">
        <f>C69*35000</f>
        <v>1050000</v>
      </c>
      <c r="E69" s="330"/>
      <c r="F69" s="121">
        <v>11</v>
      </c>
      <c r="G69" s="138">
        <v>19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12</v>
      </c>
      <c r="D70" s="329">
        <f>C70*20000</f>
        <v>240000</v>
      </c>
      <c r="E70" s="330"/>
      <c r="F70" s="121">
        <v>8</v>
      </c>
      <c r="G70" s="138">
        <v>4</v>
      </c>
      <c r="H70" s="135"/>
      <c r="I70" s="97"/>
      <c r="K70" s="109" t="s">
        <v>132</v>
      </c>
      <c r="L70" s="163">
        <f>C77</f>
        <v>71</v>
      </c>
      <c r="M70" s="110">
        <f>D77</f>
        <v>2265000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121</v>
      </c>
      <c r="M71" s="112">
        <f>D78+D79</f>
        <v>1482000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48</v>
      </c>
      <c r="M72" s="114">
        <f>L72*20000</f>
        <v>960000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52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1</v>
      </c>
      <c r="D75" s="329">
        <v>50000</v>
      </c>
      <c r="E75" s="330"/>
      <c r="F75" s="121">
        <v>1</v>
      </c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71</v>
      </c>
      <c r="D77" s="344">
        <f>SUM(D67:E76)</f>
        <v>2265000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36</v>
      </c>
      <c r="D78" s="346">
        <v>442000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85</v>
      </c>
      <c r="D79" s="348">
        <v>1040000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2</v>
      </c>
      <c r="E8" s="34">
        <f>SUM(E9:E12)</f>
        <v>3</v>
      </c>
      <c r="F8" s="34">
        <f>F9</f>
        <v>24</v>
      </c>
      <c r="G8" s="34">
        <f>G10+G11+G12</f>
        <v>56</v>
      </c>
      <c r="H8" s="35">
        <f>SUM(H9:H12)</f>
        <v>80</v>
      </c>
      <c r="I8" s="35">
        <f>SUM(I9:I12)</f>
        <v>84</v>
      </c>
      <c r="J8" s="35">
        <f>SUM(J9:J12)</f>
        <v>296000</v>
      </c>
      <c r="K8" s="35">
        <f>SUM(K9:K12)</f>
        <v>76800</v>
      </c>
      <c r="L8" s="34">
        <f>L9+L10+L11+L12</f>
        <v>0</v>
      </c>
      <c r="M8" s="35">
        <f>SUM(M9:M12)</f>
        <v>372800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1</v>
      </c>
      <c r="E10" s="235">
        <f>D10</f>
        <v>1</v>
      </c>
      <c r="F10" s="235"/>
      <c r="G10" s="235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24</v>
      </c>
      <c r="D13" s="37">
        <f>D15+D16+D17+D18+D19</f>
        <v>31</v>
      </c>
      <c r="E13" s="37">
        <f>SUM(E14:E19)</f>
        <v>55</v>
      </c>
      <c r="F13" s="37">
        <f>F14</f>
        <v>360</v>
      </c>
      <c r="G13" s="37">
        <f>G15+G16+G17+G18+G19</f>
        <v>465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7">
        <f>L14+L15+L16+L17+L18+L19</f>
        <v>0</v>
      </c>
      <c r="M13" s="38">
        <f>SUM(M14:M19)</f>
        <v>4136000</v>
      </c>
    </row>
    <row r="14" spans="1:13">
      <c r="A14" s="12"/>
      <c r="B14" s="1" t="s">
        <v>3</v>
      </c>
      <c r="C14" s="235">
        <v>24</v>
      </c>
      <c r="D14" s="235"/>
      <c r="E14" s="235">
        <f>C14</f>
        <v>24</v>
      </c>
      <c r="F14" s="235">
        <f>C14*15</f>
        <v>360</v>
      </c>
      <c r="G14" s="235"/>
      <c r="H14" s="30">
        <f>F14</f>
        <v>360</v>
      </c>
      <c r="I14" s="30">
        <f t="shared" ref="I14:I19" si="1">H14+E14</f>
        <v>384</v>
      </c>
      <c r="J14" s="30">
        <f t="shared" ref="J14:J19" si="2">3200*I14</f>
        <v>1228800</v>
      </c>
      <c r="K14" s="30">
        <f t="shared" si="0"/>
        <v>576000</v>
      </c>
      <c r="L14" s="46"/>
      <c r="M14" s="43">
        <f t="shared" ref="M14:M19" si="3">J14+K14</f>
        <v>1804800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85</v>
      </c>
      <c r="E20" s="37">
        <f>E21</f>
        <v>85</v>
      </c>
      <c r="F20" s="37"/>
      <c r="G20" s="37">
        <f t="shared" ref="G20:M20" si="4">G21</f>
        <v>1319</v>
      </c>
      <c r="H20" s="37">
        <f t="shared" si="4"/>
        <v>1319</v>
      </c>
      <c r="I20" s="37">
        <f t="shared" si="4"/>
        <v>1406</v>
      </c>
      <c r="J20" s="37">
        <f t="shared" si="4"/>
        <v>4499200</v>
      </c>
      <c r="K20" s="37">
        <f t="shared" si="4"/>
        <v>0</v>
      </c>
      <c r="L20" s="47">
        <f t="shared" si="4"/>
        <v>0</v>
      </c>
      <c r="M20" s="38">
        <f t="shared" si="4"/>
        <v>4499200</v>
      </c>
    </row>
    <row r="21" spans="1:13">
      <c r="A21" s="10"/>
      <c r="B21" s="24" t="s">
        <v>19</v>
      </c>
      <c r="C21" s="235"/>
      <c r="D21" s="235">
        <v>85</v>
      </c>
      <c r="E21" s="235">
        <f>D21</f>
        <v>85</v>
      </c>
      <c r="F21" s="235"/>
      <c r="G21" s="235">
        <v>1319</v>
      </c>
      <c r="H21" s="30">
        <f>G20</f>
        <v>1319</v>
      </c>
      <c r="I21" s="30">
        <v>1406</v>
      </c>
      <c r="J21" s="30">
        <f>3200*I21</f>
        <v>4499200</v>
      </c>
      <c r="K21" s="30"/>
      <c r="L21" s="46"/>
      <c r="M21" s="43">
        <f>J21+K21</f>
        <v>4499200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2</v>
      </c>
      <c r="D28" s="37">
        <f>D30</f>
        <v>3</v>
      </c>
      <c r="E28" s="37">
        <f>E29+E30</f>
        <v>5</v>
      </c>
      <c r="F28" s="37">
        <f>F29</f>
        <v>56</v>
      </c>
      <c r="G28" s="37">
        <f>G30</f>
        <v>72</v>
      </c>
      <c r="H28" s="38">
        <f t="shared" ref="H28:M28" si="8">H29+H30</f>
        <v>128</v>
      </c>
      <c r="I28" s="38">
        <f t="shared" si="8"/>
        <v>133</v>
      </c>
      <c r="J28" s="38">
        <f t="shared" si="8"/>
        <v>425600</v>
      </c>
      <c r="K28" s="38">
        <f t="shared" si="8"/>
        <v>204800</v>
      </c>
      <c r="L28" s="48">
        <f t="shared" si="8"/>
        <v>0</v>
      </c>
      <c r="M28" s="216">
        <f t="shared" si="8"/>
        <v>630400</v>
      </c>
    </row>
    <row r="29" spans="1:13">
      <c r="A29" s="12"/>
      <c r="B29" s="1" t="s">
        <v>3</v>
      </c>
      <c r="C29" s="235">
        <v>2</v>
      </c>
      <c r="D29" s="235"/>
      <c r="E29" s="235">
        <f>C29</f>
        <v>2</v>
      </c>
      <c r="F29" s="235">
        <v>56</v>
      </c>
      <c r="G29" s="235"/>
      <c r="H29" s="30">
        <f>F29</f>
        <v>56</v>
      </c>
      <c r="I29" s="30">
        <f>H29+E29</f>
        <v>58</v>
      </c>
      <c r="J29" s="30">
        <f>3200*I29</f>
        <v>185600</v>
      </c>
      <c r="K29" s="30">
        <f>1600*H29</f>
        <v>89600</v>
      </c>
      <c r="L29" s="46"/>
      <c r="M29" s="43">
        <f>J29+K29</f>
        <v>275200</v>
      </c>
    </row>
    <row r="30" spans="1:13">
      <c r="A30" s="12"/>
      <c r="B30" s="1" t="s">
        <v>11</v>
      </c>
      <c r="C30" s="235"/>
      <c r="D30" s="235">
        <v>3</v>
      </c>
      <c r="E30" s="235">
        <f>D30</f>
        <v>3</v>
      </c>
      <c r="F30" s="235"/>
      <c r="G30" s="30">
        <v>72</v>
      </c>
      <c r="H30" s="30">
        <f>G30</f>
        <v>72</v>
      </c>
      <c r="I30" s="30">
        <f>H30+E30</f>
        <v>75</v>
      </c>
      <c r="J30" s="30">
        <f>3200*I30</f>
        <v>240000</v>
      </c>
      <c r="K30" s="30">
        <f>1600*H30</f>
        <v>115200</v>
      </c>
      <c r="L30" s="46"/>
      <c r="M30" s="43">
        <f>J30+K30+M62</f>
        <v>355200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23</v>
      </c>
      <c r="E31" s="37">
        <f t="shared" si="9"/>
        <v>23</v>
      </c>
      <c r="F31" s="37">
        <f t="shared" si="9"/>
        <v>0</v>
      </c>
      <c r="G31" s="37">
        <f t="shared" si="9"/>
        <v>345</v>
      </c>
      <c r="H31" s="37">
        <f t="shared" si="9"/>
        <v>345</v>
      </c>
      <c r="I31" s="37">
        <f t="shared" si="9"/>
        <v>368</v>
      </c>
      <c r="J31" s="37">
        <f t="shared" si="9"/>
        <v>1177600</v>
      </c>
      <c r="K31" s="37">
        <f t="shared" si="9"/>
        <v>0</v>
      </c>
      <c r="L31" s="37">
        <f t="shared" si="9"/>
        <v>0</v>
      </c>
      <c r="M31" s="38">
        <f t="shared" si="9"/>
        <v>1177600</v>
      </c>
    </row>
    <row r="32" spans="1:13">
      <c r="A32" s="10"/>
      <c r="B32" s="24" t="s">
        <v>19</v>
      </c>
      <c r="C32" s="235"/>
      <c r="D32" s="235">
        <v>23</v>
      </c>
      <c r="E32" s="235">
        <f>D32</f>
        <v>23</v>
      </c>
      <c r="F32" s="235"/>
      <c r="G32" s="235">
        <f>E32*15</f>
        <v>345</v>
      </c>
      <c r="H32" s="30">
        <f>G32</f>
        <v>345</v>
      </c>
      <c r="I32" s="30">
        <f>H32+E32</f>
        <v>368</v>
      </c>
      <c r="J32" s="30">
        <f>3200*I32</f>
        <v>1177600</v>
      </c>
      <c r="K32" s="30"/>
      <c r="L32" s="46"/>
      <c r="M32" s="43">
        <f>J32+K32</f>
        <v>1177600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8</v>
      </c>
      <c r="E33" s="37">
        <f>E34+E35+E36</f>
        <v>14</v>
      </c>
      <c r="F33" s="37">
        <f>F34</f>
        <v>151</v>
      </c>
      <c r="G33" s="37">
        <f>G35+G36</f>
        <v>229</v>
      </c>
      <c r="H33" s="38">
        <f t="shared" ref="H33:M33" si="10">H34+H35+H36</f>
        <v>380</v>
      </c>
      <c r="I33" s="38">
        <f t="shared" si="10"/>
        <v>395</v>
      </c>
      <c r="J33" s="35">
        <f t="shared" si="10"/>
        <v>1315200</v>
      </c>
      <c r="K33" s="35">
        <f t="shared" si="10"/>
        <v>510400</v>
      </c>
      <c r="L33" s="47">
        <f t="shared" si="10"/>
        <v>0</v>
      </c>
      <c r="M33" s="216">
        <f t="shared" si="10"/>
        <v>1825600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151</v>
      </c>
      <c r="G34" s="235"/>
      <c r="H34" s="30">
        <f>F34</f>
        <v>151</v>
      </c>
      <c r="I34" s="30">
        <f>H34+E34</f>
        <v>157</v>
      </c>
      <c r="J34" s="30">
        <f>3200*I34</f>
        <v>502400</v>
      </c>
      <c r="K34" s="30">
        <f>1600*H34</f>
        <v>241600</v>
      </c>
      <c r="L34" s="46"/>
      <c r="M34" s="43">
        <f>J34+K34</f>
        <v>744000</v>
      </c>
    </row>
    <row r="35" spans="1:13">
      <c r="A35" s="13"/>
      <c r="B35" s="1" t="s">
        <v>12</v>
      </c>
      <c r="C35" s="235"/>
      <c r="D35" s="235">
        <v>6</v>
      </c>
      <c r="E35" s="235">
        <f>D35</f>
        <v>6</v>
      </c>
      <c r="F35" s="235"/>
      <c r="G35" s="235">
        <v>168</v>
      </c>
      <c r="H35" s="30">
        <f>G35</f>
        <v>168</v>
      </c>
      <c r="I35" s="30">
        <f>H35+E35</f>
        <v>174</v>
      </c>
      <c r="J35" s="30">
        <f>3200*I35</f>
        <v>556800</v>
      </c>
      <c r="K35" s="30">
        <f>1600*H35</f>
        <v>268800</v>
      </c>
      <c r="L35" s="46"/>
      <c r="M35" s="43">
        <f>J35+K35+M63</f>
        <v>825600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23</v>
      </c>
      <c r="E37" s="37">
        <f>E38</f>
        <v>23</v>
      </c>
      <c r="F37" s="37"/>
      <c r="G37" s="37">
        <f t="shared" ref="G37:M37" si="11">G38</f>
        <v>345</v>
      </c>
      <c r="H37" s="38">
        <f t="shared" si="11"/>
        <v>345</v>
      </c>
      <c r="I37" s="38">
        <f t="shared" si="11"/>
        <v>368</v>
      </c>
      <c r="J37" s="38">
        <f t="shared" si="11"/>
        <v>1472000</v>
      </c>
      <c r="K37" s="38">
        <f t="shared" si="11"/>
        <v>0</v>
      </c>
      <c r="L37" s="48">
        <f t="shared" si="11"/>
        <v>0</v>
      </c>
      <c r="M37" s="216">
        <f t="shared" si="11"/>
        <v>1472000</v>
      </c>
    </row>
    <row r="38" spans="1:13">
      <c r="A38" s="13"/>
      <c r="B38" s="96" t="s">
        <v>128</v>
      </c>
      <c r="C38" s="235"/>
      <c r="D38" s="235">
        <v>23</v>
      </c>
      <c r="E38" s="235">
        <f>D38</f>
        <v>23</v>
      </c>
      <c r="F38" s="235"/>
      <c r="G38" s="235">
        <f>E38*15</f>
        <v>345</v>
      </c>
      <c r="H38" s="30">
        <f>G38</f>
        <v>345</v>
      </c>
      <c r="I38" s="30">
        <f>H38+E38</f>
        <v>368</v>
      </c>
      <c r="J38" s="30">
        <f>4000*I38</f>
        <v>1472000</v>
      </c>
      <c r="K38" s="30"/>
      <c r="L38" s="46"/>
      <c r="M38" s="43">
        <f>J38+K38</f>
        <v>1472000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4</v>
      </c>
      <c r="E49" s="37">
        <f>E50+E51</f>
        <v>4</v>
      </c>
      <c r="F49" s="37"/>
      <c r="G49" s="37">
        <f t="shared" ref="G49:M49" si="16">G50+G51</f>
        <v>60</v>
      </c>
      <c r="H49" s="37">
        <f t="shared" si="16"/>
        <v>60</v>
      </c>
      <c r="I49" s="37">
        <f t="shared" si="16"/>
        <v>64</v>
      </c>
      <c r="J49" s="37">
        <f t="shared" si="16"/>
        <v>243200</v>
      </c>
      <c r="K49" s="37">
        <f t="shared" si="16"/>
        <v>24000</v>
      </c>
      <c r="L49" s="37">
        <f t="shared" si="16"/>
        <v>0</v>
      </c>
      <c r="M49" s="219">
        <f t="shared" si="16"/>
        <v>267200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3</v>
      </c>
      <c r="E51" s="235">
        <f t="shared" si="14"/>
        <v>3</v>
      </c>
      <c r="F51" s="235"/>
      <c r="G51" s="153">
        <f>E51*15</f>
        <v>45</v>
      </c>
      <c r="H51" s="30">
        <f>G51</f>
        <v>45</v>
      </c>
      <c r="I51" s="30">
        <f>H51+E51</f>
        <v>48</v>
      </c>
      <c r="J51" s="30">
        <f>4000*I51</f>
        <v>192000</v>
      </c>
      <c r="K51" s="30"/>
      <c r="L51" s="46"/>
      <c r="M51" s="43">
        <f>J51+K51+(L51*15000)</f>
        <v>192000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1</v>
      </c>
      <c r="E54" s="37">
        <f>E55</f>
        <v>1</v>
      </c>
      <c r="F54" s="37">
        <f>F55</f>
        <v>0</v>
      </c>
      <c r="G54" s="37">
        <f>G55</f>
        <v>44</v>
      </c>
      <c r="H54" s="38">
        <f t="shared" si="17"/>
        <v>44</v>
      </c>
      <c r="I54" s="38">
        <f t="shared" si="17"/>
        <v>46</v>
      </c>
      <c r="J54" s="38">
        <f t="shared" si="17"/>
        <v>299000</v>
      </c>
      <c r="K54" s="38">
        <f t="shared" si="17"/>
        <v>140800</v>
      </c>
      <c r="L54" s="48">
        <f t="shared" si="17"/>
        <v>0</v>
      </c>
      <c r="M54" s="44">
        <f t="shared" si="17"/>
        <v>439800</v>
      </c>
    </row>
    <row r="55" spans="1:13">
      <c r="A55" s="14"/>
      <c r="B55" s="2" t="s">
        <v>210</v>
      </c>
      <c r="C55" s="29"/>
      <c r="D55" s="29">
        <v>1</v>
      </c>
      <c r="E55" s="29">
        <f>D55</f>
        <v>1</v>
      </c>
      <c r="F55" s="29"/>
      <c r="G55" s="29">
        <f>E55*44</f>
        <v>44</v>
      </c>
      <c r="H55" s="31">
        <f>G55</f>
        <v>44</v>
      </c>
      <c r="I55" s="31">
        <f>H55+E55*2</f>
        <v>46</v>
      </c>
      <c r="J55" s="30">
        <f>6500*I55</f>
        <v>299000</v>
      </c>
      <c r="K55" s="30">
        <f>3200*H55</f>
        <v>140800</v>
      </c>
      <c r="L55" s="49"/>
      <c r="M55" s="43">
        <f>J55+K55</f>
        <v>439800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0</v>
      </c>
      <c r="E58" s="81">
        <f>E59</f>
        <v>0</v>
      </c>
      <c r="F58" s="81"/>
      <c r="G58" s="81">
        <f>G59</f>
        <v>0</v>
      </c>
      <c r="H58" s="170">
        <f>H59</f>
        <v>0</v>
      </c>
      <c r="I58" s="170">
        <f>I59</f>
        <v>0</v>
      </c>
      <c r="J58" s="170">
        <f>J59</f>
        <v>0</v>
      </c>
      <c r="K58" s="170">
        <f>K59</f>
        <v>0</v>
      </c>
      <c r="L58" s="81">
        <f>L59+L63</f>
        <v>0</v>
      </c>
      <c r="M58" s="217">
        <f>M59</f>
        <v>0</v>
      </c>
    </row>
    <row r="59" spans="1:13">
      <c r="A59" s="14"/>
      <c r="B59" s="236" t="s">
        <v>234</v>
      </c>
      <c r="C59" s="29"/>
      <c r="D59" s="29">
        <v>0</v>
      </c>
      <c r="E59" s="29">
        <f>D58</f>
        <v>0</v>
      </c>
      <c r="F59" s="29"/>
      <c r="G59" s="29">
        <v>0</v>
      </c>
      <c r="H59" s="31">
        <f>G59</f>
        <v>0</v>
      </c>
      <c r="I59" s="31">
        <f>H59+E59*2</f>
        <v>0</v>
      </c>
      <c r="J59" s="79">
        <f>4300*I59</f>
        <v>0</v>
      </c>
      <c r="K59" s="31">
        <f>2500*H59</f>
        <v>0</v>
      </c>
      <c r="L59" s="49"/>
      <c r="M59" s="80">
        <f>J59+K59</f>
        <v>0</v>
      </c>
    </row>
    <row r="60" spans="1:13">
      <c r="A60" s="211">
        <v>19</v>
      </c>
      <c r="B60" s="212" t="s">
        <v>216</v>
      </c>
      <c r="C60" s="209">
        <f t="shared" ref="C60:K60" si="19">C61</f>
        <v>1</v>
      </c>
      <c r="D60" s="209">
        <f t="shared" si="19"/>
        <v>0</v>
      </c>
      <c r="E60" s="209">
        <f t="shared" si="19"/>
        <v>1</v>
      </c>
      <c r="F60" s="209">
        <f t="shared" si="19"/>
        <v>39</v>
      </c>
      <c r="G60" s="209">
        <f t="shared" si="19"/>
        <v>0</v>
      </c>
      <c r="H60" s="210">
        <f t="shared" si="19"/>
        <v>39</v>
      </c>
      <c r="I60" s="210">
        <f t="shared" si="19"/>
        <v>41</v>
      </c>
      <c r="J60" s="210">
        <f t="shared" si="19"/>
        <v>266500</v>
      </c>
      <c r="K60" s="210">
        <f t="shared" si="19"/>
        <v>124800</v>
      </c>
      <c r="L60" s="209"/>
      <c r="M60" s="218">
        <f>M61</f>
        <v>391300</v>
      </c>
    </row>
    <row r="61" spans="1:13">
      <c r="A61" s="14"/>
      <c r="B61" s="205" t="s">
        <v>213</v>
      </c>
      <c r="C61" s="207">
        <v>1</v>
      </c>
      <c r="D61" s="207"/>
      <c r="E61" s="207">
        <f>C61</f>
        <v>1</v>
      </c>
      <c r="F61" s="207">
        <v>39</v>
      </c>
      <c r="G61" s="207"/>
      <c r="H61" s="208">
        <f>F61</f>
        <v>39</v>
      </c>
      <c r="I61" s="208">
        <f>H61+E61*2</f>
        <v>41</v>
      </c>
      <c r="J61" s="30">
        <f>6500*I61</f>
        <v>266500</v>
      </c>
      <c r="K61" s="30">
        <f>3200*H61</f>
        <v>124800</v>
      </c>
      <c r="L61" s="49"/>
      <c r="M61" s="43">
        <f>J61+K61</f>
        <v>391300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34</v>
      </c>
      <c r="D64" s="42">
        <f>D8+D13+D20+D22+D24+D26+D28+D31+D33+D37+D39+D44+D47+D49+D52+D54+D56+D58</f>
        <v>186</v>
      </c>
      <c r="E64" s="42">
        <f>E8+E13+E20+E22+E24+E26+E28+E31+E33+E37+E39+E44+E47+E49+E52+E54+E56+E58+E60</f>
        <v>220</v>
      </c>
      <c r="F64" s="42">
        <f>F8+F13+F28+F33+F60</f>
        <v>630</v>
      </c>
      <c r="G64" s="42">
        <f>G8+G13+G20+G22+G24+G26+G28+G31+G33+G37+G39+G44+G47+G49+G52+G54+G56+G58</f>
        <v>3141</v>
      </c>
      <c r="H64" s="42">
        <f>H8+H13+H20+H22+H24+H26+H28+H31+H33+H37+H39+H44+H47+H49+H52+H54+H56+H58+H60</f>
        <v>3771</v>
      </c>
      <c r="I64" s="42">
        <f>I8+I13+I20+I22+I24+I26+I28+I31+I33+I37+I39+I44+I47+I49+I52+I54+I56+I58+I60</f>
        <v>4001</v>
      </c>
      <c r="J64" s="42">
        <f>J8+J13+J20+J22+J24+J26+J28+J31+J33+J37+J39+J44+J47+J49+J52+J54+J56+J58</f>
        <v>13486360</v>
      </c>
      <c r="K64" s="42">
        <f>K8+K13+K20+K22+K24+K26+K28+K31+K33+K37+K39+K44+K47+K49+K52+K54+K56+K58</f>
        <v>2594000</v>
      </c>
      <c r="L64" s="50"/>
      <c r="M64" s="42">
        <f>M8+M13+M20+M22+M24+M26+M28+M31+M33+M37+M39+M44+M47+M49+M52+M54+M56+M58+M60+M65+M66</f>
        <v>16521660</v>
      </c>
    </row>
    <row r="65" spans="2:13" ht="14.25" thickTop="1" thickBot="1">
      <c r="D65" s="337"/>
      <c r="E65" s="337"/>
      <c r="J65" s="115"/>
      <c r="K65" s="149" t="s">
        <v>96</v>
      </c>
      <c r="L65" s="147">
        <v>1</v>
      </c>
      <c r="M65" s="149">
        <f>20000*L65</f>
        <v>20000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/>
      <c r="G67" s="145">
        <v>14</v>
      </c>
      <c r="H67" s="119"/>
      <c r="K67" s="97" t="s">
        <v>32</v>
      </c>
      <c r="L67" s="234">
        <f>L65+L66</f>
        <v>3</v>
      </c>
    </row>
    <row r="68" spans="2:13" ht="13.5" thickBot="1">
      <c r="B68" s="120" t="s">
        <v>75</v>
      </c>
      <c r="C68" s="131">
        <f t="shared" ref="C68:C74" si="20">F68+G68</f>
        <v>18</v>
      </c>
      <c r="D68" s="342">
        <f>C68*30000</f>
        <v>540000</v>
      </c>
      <c r="E68" s="343"/>
      <c r="F68" s="122">
        <v>1</v>
      </c>
      <c r="G68" s="139">
        <v>17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3</v>
      </c>
      <c r="D69" s="329">
        <f>C69*35000</f>
        <v>105000</v>
      </c>
      <c r="E69" s="330"/>
      <c r="F69" s="121">
        <v>2</v>
      </c>
      <c r="G69" s="138">
        <v>1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13</v>
      </c>
      <c r="D70" s="329">
        <f>C70*20000</f>
        <v>260000</v>
      </c>
      <c r="E70" s="330"/>
      <c r="F70" s="121">
        <v>9</v>
      </c>
      <c r="G70" s="138">
        <v>4</v>
      </c>
      <c r="H70" s="135"/>
      <c r="I70" s="97"/>
      <c r="K70" s="109" t="s">
        <v>132</v>
      </c>
      <c r="L70" s="163">
        <f>C77</f>
        <v>41.5</v>
      </c>
      <c r="M70" s="110">
        <f>D77</f>
        <v>1255000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123</v>
      </c>
      <c r="M71" s="112">
        <f>D78+D79</f>
        <v>1536000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51</v>
      </c>
      <c r="M72" s="114">
        <f>L72*20000</f>
        <v>1020000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54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41.5</v>
      </c>
      <c r="D77" s="344">
        <f>SUM(D67:E76)</f>
        <v>1255000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40</v>
      </c>
      <c r="D78" s="346">
        <v>507000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83</v>
      </c>
      <c r="D79" s="348">
        <v>1029000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80"/>
  <sheetViews>
    <sheetView topLeftCell="A56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4</v>
      </c>
      <c r="E8" s="34">
        <f>SUM(E9:E12)</f>
        <v>5</v>
      </c>
      <c r="F8" s="34">
        <f>F9</f>
        <v>24</v>
      </c>
      <c r="G8" s="34">
        <f>G10+G11+G12</f>
        <v>111</v>
      </c>
      <c r="H8" s="35">
        <f>SUM(H9:H12)</f>
        <v>135</v>
      </c>
      <c r="I8" s="35">
        <f>SUM(I9:I12)</f>
        <v>141</v>
      </c>
      <c r="J8" s="35">
        <f>SUM(J9:J12)</f>
        <v>478400</v>
      </c>
      <c r="K8" s="35">
        <f>SUM(K9:K12)</f>
        <v>164800</v>
      </c>
      <c r="L8" s="34">
        <f>L9+L10+L11+L12</f>
        <v>0</v>
      </c>
      <c r="M8" s="35">
        <f>SUM(M9:M12)</f>
        <v>643200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3</v>
      </c>
      <c r="E10" s="235">
        <f>D10</f>
        <v>3</v>
      </c>
      <c r="F10" s="235"/>
      <c r="G10" s="235">
        <v>79</v>
      </c>
      <c r="H10" s="30">
        <f>G10</f>
        <v>79</v>
      </c>
      <c r="I10" s="30">
        <f>H10+E10</f>
        <v>82</v>
      </c>
      <c r="J10" s="30">
        <f>3200*I10</f>
        <v>262400</v>
      </c>
      <c r="K10" s="30">
        <f t="shared" ref="K10:K19" si="0">1600*H10</f>
        <v>126400</v>
      </c>
      <c r="L10" s="46"/>
      <c r="M10" s="43">
        <f>J10+K10</f>
        <v>388800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26</v>
      </c>
      <c r="D13" s="37">
        <f>D15+D16+D17+D18+D19</f>
        <v>31</v>
      </c>
      <c r="E13" s="37">
        <f>SUM(E14:E19)</f>
        <v>57</v>
      </c>
      <c r="F13" s="37">
        <f>F14</f>
        <v>390</v>
      </c>
      <c r="G13" s="37">
        <f>G15+G16+G17+G18+G19</f>
        <v>465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7">
        <f>L14+L15+L16+L17+L18+L19</f>
        <v>0</v>
      </c>
      <c r="M13" s="38">
        <f>SUM(M14:M19)</f>
        <v>4286400</v>
      </c>
    </row>
    <row r="14" spans="1:13">
      <c r="A14" s="12"/>
      <c r="B14" s="1" t="s">
        <v>3</v>
      </c>
      <c r="C14" s="235">
        <v>26</v>
      </c>
      <c r="D14" s="235"/>
      <c r="E14" s="235">
        <f>C14</f>
        <v>26</v>
      </c>
      <c r="F14" s="235">
        <f>C14*15</f>
        <v>390</v>
      </c>
      <c r="G14" s="235"/>
      <c r="H14" s="30">
        <f>F14</f>
        <v>390</v>
      </c>
      <c r="I14" s="30">
        <f t="shared" ref="I14:I19" si="1">H14+E14</f>
        <v>416</v>
      </c>
      <c r="J14" s="30">
        <f t="shared" ref="J14:J19" si="2">3200*I14</f>
        <v>1331200</v>
      </c>
      <c r="K14" s="30">
        <f t="shared" si="0"/>
        <v>624000</v>
      </c>
      <c r="L14" s="46"/>
      <c r="M14" s="43">
        <f t="shared" ref="M14:M19" si="3">J14+K14</f>
        <v>1955200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84</v>
      </c>
      <c r="E20" s="37">
        <f>E21</f>
        <v>84</v>
      </c>
      <c r="F20" s="37"/>
      <c r="G20" s="37">
        <f t="shared" ref="G20:M20" si="4">G21</f>
        <v>1416</v>
      </c>
      <c r="H20" s="37">
        <f t="shared" si="4"/>
        <v>1416</v>
      </c>
      <c r="I20" s="37">
        <f t="shared" si="4"/>
        <v>1506</v>
      </c>
      <c r="J20" s="37">
        <f t="shared" si="4"/>
        <v>4819200</v>
      </c>
      <c r="K20" s="37">
        <f t="shared" si="4"/>
        <v>0</v>
      </c>
      <c r="L20" s="47">
        <f t="shared" si="4"/>
        <v>0</v>
      </c>
      <c r="M20" s="38">
        <f t="shared" si="4"/>
        <v>4819200</v>
      </c>
    </row>
    <row r="21" spans="1:13">
      <c r="A21" s="10"/>
      <c r="B21" s="24" t="s">
        <v>19</v>
      </c>
      <c r="C21" s="235"/>
      <c r="D21" s="235">
        <v>84</v>
      </c>
      <c r="E21" s="235">
        <f>D21</f>
        <v>84</v>
      </c>
      <c r="F21" s="235"/>
      <c r="G21" s="235">
        <v>1416</v>
      </c>
      <c r="H21" s="30">
        <f>G20</f>
        <v>1416</v>
      </c>
      <c r="I21" s="30">
        <v>1506</v>
      </c>
      <c r="J21" s="30">
        <f>3200*I21</f>
        <v>4819200</v>
      </c>
      <c r="K21" s="30"/>
      <c r="L21" s="46"/>
      <c r="M21" s="43">
        <f>J21+K21</f>
        <v>4819200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4</v>
      </c>
      <c r="E28" s="37">
        <f>E29+E30</f>
        <v>8</v>
      </c>
      <c r="F28" s="37">
        <f>F29</f>
        <v>104</v>
      </c>
      <c r="G28" s="37">
        <f>G30</f>
        <v>104</v>
      </c>
      <c r="H28" s="38">
        <f t="shared" ref="H28:M28" si="8">H29+H30</f>
        <v>208</v>
      </c>
      <c r="I28" s="38">
        <f t="shared" si="8"/>
        <v>216</v>
      </c>
      <c r="J28" s="38">
        <f t="shared" si="8"/>
        <v>691200</v>
      </c>
      <c r="K28" s="38">
        <f t="shared" si="8"/>
        <v>332800</v>
      </c>
      <c r="L28" s="48">
        <f t="shared" si="8"/>
        <v>0</v>
      </c>
      <c r="M28" s="216">
        <f t="shared" si="8"/>
        <v>1024000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104</v>
      </c>
      <c r="G29" s="235"/>
      <c r="H29" s="30">
        <f>F29</f>
        <v>104</v>
      </c>
      <c r="I29" s="30">
        <f>H29+E29</f>
        <v>108</v>
      </c>
      <c r="J29" s="30">
        <f>3200*I29</f>
        <v>345600</v>
      </c>
      <c r="K29" s="30">
        <f>1600*H29</f>
        <v>166400</v>
      </c>
      <c r="L29" s="46"/>
      <c r="M29" s="43">
        <f>J29+K29</f>
        <v>512000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104</v>
      </c>
      <c r="H30" s="30">
        <f>G30</f>
        <v>104</v>
      </c>
      <c r="I30" s="30">
        <f>H30+E30</f>
        <v>108</v>
      </c>
      <c r="J30" s="30">
        <f>3200*I30</f>
        <v>345600</v>
      </c>
      <c r="K30" s="30">
        <f>1600*H30</f>
        <v>166400</v>
      </c>
      <c r="L30" s="46"/>
      <c r="M30" s="43">
        <f>J30+K30+M62</f>
        <v>512000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26</v>
      </c>
      <c r="E31" s="37">
        <f t="shared" si="9"/>
        <v>26</v>
      </c>
      <c r="F31" s="37">
        <f t="shared" si="9"/>
        <v>0</v>
      </c>
      <c r="G31" s="37">
        <f t="shared" si="9"/>
        <v>390</v>
      </c>
      <c r="H31" s="37">
        <f t="shared" si="9"/>
        <v>390</v>
      </c>
      <c r="I31" s="37">
        <f t="shared" si="9"/>
        <v>416</v>
      </c>
      <c r="J31" s="37">
        <f t="shared" si="9"/>
        <v>1331200</v>
      </c>
      <c r="K31" s="37">
        <f t="shared" si="9"/>
        <v>0</v>
      </c>
      <c r="L31" s="37">
        <f t="shared" si="9"/>
        <v>0</v>
      </c>
      <c r="M31" s="38">
        <f t="shared" si="9"/>
        <v>1331200</v>
      </c>
    </row>
    <row r="32" spans="1:13">
      <c r="A32" s="10"/>
      <c r="B32" s="24" t="s">
        <v>19</v>
      </c>
      <c r="C32" s="235"/>
      <c r="D32" s="235">
        <v>26</v>
      </c>
      <c r="E32" s="235">
        <f>D32</f>
        <v>26</v>
      </c>
      <c r="F32" s="235"/>
      <c r="G32" s="235">
        <f>E32*15</f>
        <v>390</v>
      </c>
      <c r="H32" s="30">
        <f>G32</f>
        <v>390</v>
      </c>
      <c r="I32" s="30">
        <f>H32+E32</f>
        <v>416</v>
      </c>
      <c r="J32" s="30">
        <f>3200*I32</f>
        <v>1331200</v>
      </c>
      <c r="K32" s="30"/>
      <c r="L32" s="46"/>
      <c r="M32" s="43">
        <f>J32+K32</f>
        <v>1331200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149</v>
      </c>
      <c r="G33" s="37">
        <f>G35+G36</f>
        <v>251</v>
      </c>
      <c r="H33" s="38">
        <f t="shared" ref="H33:M33" si="10">H34+H35+H36</f>
        <v>400</v>
      </c>
      <c r="I33" s="38">
        <f t="shared" si="10"/>
        <v>416</v>
      </c>
      <c r="J33" s="35">
        <f t="shared" si="10"/>
        <v>1382400</v>
      </c>
      <c r="K33" s="35">
        <f t="shared" si="10"/>
        <v>542400</v>
      </c>
      <c r="L33" s="47">
        <f t="shared" si="10"/>
        <v>0</v>
      </c>
      <c r="M33" s="216">
        <f t="shared" si="10"/>
        <v>1924800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149</v>
      </c>
      <c r="G34" s="235"/>
      <c r="H34" s="30">
        <f>F34</f>
        <v>149</v>
      </c>
      <c r="I34" s="30">
        <f>H34+E34</f>
        <v>155</v>
      </c>
      <c r="J34" s="30">
        <f>3200*I34</f>
        <v>496000</v>
      </c>
      <c r="K34" s="30">
        <f>1600*H34</f>
        <v>238400</v>
      </c>
      <c r="L34" s="46"/>
      <c r="M34" s="43">
        <f>J34+K34</f>
        <v>734400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190</v>
      </c>
      <c r="H35" s="30">
        <f>G35</f>
        <v>190</v>
      </c>
      <c r="I35" s="30">
        <f>H35+E35</f>
        <v>197</v>
      </c>
      <c r="J35" s="30">
        <f>3200*I35</f>
        <v>630400</v>
      </c>
      <c r="K35" s="30">
        <f>1600*H35</f>
        <v>304000</v>
      </c>
      <c r="L35" s="46"/>
      <c r="M35" s="43">
        <f>J35+K35+M63</f>
        <v>934400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25</v>
      </c>
      <c r="E37" s="37">
        <f>E38</f>
        <v>25</v>
      </c>
      <c r="F37" s="37"/>
      <c r="G37" s="37">
        <f t="shared" ref="G37:M37" si="11">G38</f>
        <v>375</v>
      </c>
      <c r="H37" s="38">
        <f t="shared" si="11"/>
        <v>375</v>
      </c>
      <c r="I37" s="38">
        <f t="shared" si="11"/>
        <v>400</v>
      </c>
      <c r="J37" s="38">
        <f t="shared" si="11"/>
        <v>1600000</v>
      </c>
      <c r="K37" s="38">
        <f t="shared" si="11"/>
        <v>0</v>
      </c>
      <c r="L37" s="48">
        <f t="shared" si="11"/>
        <v>0</v>
      </c>
      <c r="M37" s="216">
        <f t="shared" si="11"/>
        <v>1600000</v>
      </c>
    </row>
    <row r="38" spans="1:13">
      <c r="A38" s="13"/>
      <c r="B38" s="96" t="s">
        <v>128</v>
      </c>
      <c r="C38" s="235"/>
      <c r="D38" s="235">
        <v>25</v>
      </c>
      <c r="E38" s="235">
        <f>D38</f>
        <v>25</v>
      </c>
      <c r="F38" s="235"/>
      <c r="G38" s="235">
        <f>E38*15</f>
        <v>375</v>
      </c>
      <c r="H38" s="30">
        <f>G38</f>
        <v>375</v>
      </c>
      <c r="I38" s="30">
        <f>H38+E38</f>
        <v>400</v>
      </c>
      <c r="J38" s="30">
        <f>4000*I38</f>
        <v>1600000</v>
      </c>
      <c r="K38" s="30"/>
      <c r="L38" s="46"/>
      <c r="M38" s="43">
        <f>J38+K38</f>
        <v>1600000</v>
      </c>
    </row>
    <row r="39" spans="1:13">
      <c r="A39" s="36">
        <v>11</v>
      </c>
      <c r="B39" s="33" t="s">
        <v>44</v>
      </c>
      <c r="C39" s="37"/>
      <c r="D39" s="37">
        <f>D40+D41+D42+D43</f>
        <v>0</v>
      </c>
      <c r="E39" s="37">
        <f>E40+E41+E42+E43</f>
        <v>0</v>
      </c>
      <c r="F39" s="37"/>
      <c r="G39" s="37">
        <f t="shared" ref="G39:M39" si="12">G40+G41+G42+G43</f>
        <v>0</v>
      </c>
      <c r="H39" s="38">
        <f t="shared" si="12"/>
        <v>0</v>
      </c>
      <c r="I39" s="38">
        <f t="shared" si="12"/>
        <v>0</v>
      </c>
      <c r="J39" s="45">
        <f t="shared" si="12"/>
        <v>0</v>
      </c>
      <c r="K39" s="45">
        <f t="shared" si="12"/>
        <v>0</v>
      </c>
      <c r="L39" s="47">
        <f t="shared" si="12"/>
        <v>0</v>
      </c>
      <c r="M39" s="216">
        <f t="shared" si="12"/>
        <v>0</v>
      </c>
    </row>
    <row r="40" spans="1:13">
      <c r="A40" s="9"/>
      <c r="B40" s="24" t="s">
        <v>13</v>
      </c>
      <c r="C40" s="235"/>
      <c r="D40" s="235"/>
      <c r="E40" s="235">
        <f>D40</f>
        <v>0</v>
      </c>
      <c r="F40" s="235"/>
      <c r="G40" s="235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75</v>
      </c>
      <c r="H49" s="37">
        <f t="shared" si="16"/>
        <v>75</v>
      </c>
      <c r="I49" s="37">
        <f t="shared" si="16"/>
        <v>80</v>
      </c>
      <c r="J49" s="37">
        <f t="shared" si="16"/>
        <v>307200</v>
      </c>
      <c r="K49" s="37">
        <f t="shared" si="16"/>
        <v>24000</v>
      </c>
      <c r="L49" s="37">
        <f t="shared" si="16"/>
        <v>0</v>
      </c>
      <c r="M49" s="219">
        <f t="shared" si="16"/>
        <v>331200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f>E51*15</f>
        <v>60</v>
      </c>
      <c r="H51" s="30">
        <f>G51</f>
        <v>60</v>
      </c>
      <c r="I51" s="30">
        <f>H51+E51</f>
        <v>64</v>
      </c>
      <c r="J51" s="30">
        <f>4000*I51</f>
        <v>256000</v>
      </c>
      <c r="K51" s="30"/>
      <c r="L51" s="46"/>
      <c r="M51" s="43">
        <f>J51+K51+(L51*15000)</f>
        <v>256000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89</v>
      </c>
      <c r="H58" s="170">
        <f>H59</f>
        <v>89</v>
      </c>
      <c r="I58" s="170">
        <f>I59</f>
        <v>93</v>
      </c>
      <c r="J58" s="170">
        <f>J59</f>
        <v>399900</v>
      </c>
      <c r="K58" s="170">
        <f>K59</f>
        <v>222500</v>
      </c>
      <c r="L58" s="81">
        <f>L59+L63</f>
        <v>0</v>
      </c>
      <c r="M58" s="217">
        <f>M59</f>
        <v>622400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89</v>
      </c>
      <c r="H59" s="31">
        <f>G59</f>
        <v>89</v>
      </c>
      <c r="I59" s="31">
        <f>H59+E59*2</f>
        <v>93</v>
      </c>
      <c r="J59" s="79">
        <f>4300*I59</f>
        <v>399900</v>
      </c>
      <c r="K59" s="31">
        <f>2500*H59</f>
        <v>222500</v>
      </c>
      <c r="L59" s="49"/>
      <c r="M59" s="80">
        <f>J59+K59</f>
        <v>622400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37</v>
      </c>
      <c r="D64" s="42">
        <f>D8+D13+D20+D22+D24+D26+D28+D31+D33+D37+D39+D44+D47+D49+D52+D54+D56+D58</f>
        <v>198</v>
      </c>
      <c r="E64" s="42">
        <f>E8+E13+E20+E22+E24+E26+E28+E31+E33+E37+E39+E44+E47+E49+E52+E54+E56+E58+E60</f>
        <v>235</v>
      </c>
      <c r="F64" s="42">
        <f>F8+F13+F28+F33+F60</f>
        <v>667</v>
      </c>
      <c r="G64" s="42">
        <f>G8+G13+G20+G22+G24+G26+G28+G31+G33+G37+G39+G44+G47+G49+G52+G54+G56+G58</f>
        <v>3532</v>
      </c>
      <c r="H64" s="42">
        <f>H8+H13+H20+H22+H24+H26+H28+H31+H33+H37+H39+H44+H47+H49+H52+H54+H56+H58+H60</f>
        <v>4199</v>
      </c>
      <c r="I64" s="42">
        <f>I8+I13+I20+I22+I24+I26+I28+I31+I33+I37+I39+I44+I47+I49+I52+I54+I56+I58+I60</f>
        <v>4448</v>
      </c>
      <c r="J64" s="42">
        <f>J8+J13+J20+J22+J24+J26+J28+J31+J33+J37+J39+J44+J47+J49+J52+J54+J56+J58</f>
        <v>15182060</v>
      </c>
      <c r="K64" s="42">
        <f>K8+K13+K20+K22+K24+K26+K28+K31+K33+K37+K39+K44+K47+K49+K52+K54+K56+K58</f>
        <v>3102700</v>
      </c>
      <c r="L64" s="50"/>
      <c r="M64" s="42">
        <f>M8+M13+M20+M22+M24+M26+M28+M31+M33+M37+M39+M44+M47+M49+M52+M54+M56+M58+M60+M65+M66</f>
        <v>18354760</v>
      </c>
    </row>
    <row r="65" spans="2:13" ht="14.25" thickTop="1" thickBot="1">
      <c r="D65" s="337"/>
      <c r="E65" s="337"/>
      <c r="J65" s="115"/>
      <c r="K65" s="149" t="s">
        <v>96</v>
      </c>
      <c r="L65" s="147">
        <v>2</v>
      </c>
      <c r="M65" s="149">
        <f>20000*L65</f>
        <v>40000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17</v>
      </c>
      <c r="D67" s="340">
        <f>C67*25000</f>
        <v>425000</v>
      </c>
      <c r="E67" s="341"/>
      <c r="F67" s="131"/>
      <c r="G67" s="145">
        <v>17</v>
      </c>
      <c r="H67" s="119"/>
      <c r="K67" s="97" t="s">
        <v>32</v>
      </c>
      <c r="L67" s="234">
        <f>L65+L66</f>
        <v>4</v>
      </c>
    </row>
    <row r="68" spans="2:13" ht="13.5" thickBot="1">
      <c r="B68" s="120" t="s">
        <v>75</v>
      </c>
      <c r="C68" s="131">
        <f t="shared" ref="C68:C74" si="20">F68+G68</f>
        <v>27</v>
      </c>
      <c r="D68" s="342">
        <f>C68*30000</f>
        <v>810000</v>
      </c>
      <c r="E68" s="343"/>
      <c r="F68" s="122">
        <v>20</v>
      </c>
      <c r="G68" s="139">
        <v>7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12</v>
      </c>
      <c r="D69" s="329">
        <f>C69*35000</f>
        <v>420000</v>
      </c>
      <c r="E69" s="330"/>
      <c r="F69" s="121">
        <v>8</v>
      </c>
      <c r="G69" s="138">
        <v>4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11</v>
      </c>
      <c r="D70" s="329">
        <f>C70*20000</f>
        <v>220000</v>
      </c>
      <c r="E70" s="330"/>
      <c r="F70" s="121">
        <v>7</v>
      </c>
      <c r="G70" s="138">
        <v>4</v>
      </c>
      <c r="H70" s="135"/>
      <c r="I70" s="97"/>
      <c r="K70" s="109" t="s">
        <v>132</v>
      </c>
      <c r="L70" s="163">
        <f>C77</f>
        <v>61.5</v>
      </c>
      <c r="M70" s="110">
        <f>D77</f>
        <v>1875000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125</v>
      </c>
      <c r="M71" s="112">
        <f>D78+D79</f>
        <v>1564000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50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61.5</v>
      </c>
      <c r="D77" s="344">
        <f>SUM(D67:E76)</f>
        <v>1875000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32</v>
      </c>
      <c r="D78" s="346">
        <v>376000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93</v>
      </c>
      <c r="D79" s="348">
        <v>1188000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25" top="0" bottom="1" header="0.5" footer="0.5"/>
  <pageSetup paperSize="9" orientation="landscape" verticalDpi="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80"/>
  <sheetViews>
    <sheetView topLeftCell="A55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6</v>
      </c>
      <c r="E8" s="34">
        <f>SUM(E9:E12)</f>
        <v>7</v>
      </c>
      <c r="F8" s="34">
        <f>F9</f>
        <v>24</v>
      </c>
      <c r="G8" s="34">
        <f>G10+G11+G12</f>
        <v>168</v>
      </c>
      <c r="H8" s="35">
        <f>SUM(H9:H12)</f>
        <v>192</v>
      </c>
      <c r="I8" s="35">
        <f>SUM(I9:I12)</f>
        <v>200</v>
      </c>
      <c r="J8" s="35">
        <f>SUM(J9:J12)</f>
        <v>667200</v>
      </c>
      <c r="K8" s="35">
        <f>SUM(K9:K12)</f>
        <v>256000</v>
      </c>
      <c r="L8" s="34">
        <f>L9+L10+L11+L12</f>
        <v>0</v>
      </c>
      <c r="M8" s="35">
        <f>SUM(M9:M12)</f>
        <v>923200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4</v>
      </c>
      <c r="E10" s="235">
        <f>D10</f>
        <v>4</v>
      </c>
      <c r="F10" s="235"/>
      <c r="G10" s="235">
        <v>108</v>
      </c>
      <c r="H10" s="30">
        <f>G10</f>
        <v>108</v>
      </c>
      <c r="I10" s="30">
        <f>H10+E10</f>
        <v>112</v>
      </c>
      <c r="J10" s="30">
        <f>3200*I10</f>
        <v>358400</v>
      </c>
      <c r="K10" s="30">
        <f t="shared" ref="K10:K19" si="0">1600*H10</f>
        <v>172800</v>
      </c>
      <c r="L10" s="46"/>
      <c r="M10" s="43">
        <f>J10+K10</f>
        <v>531200</v>
      </c>
    </row>
    <row r="11" spans="1:13">
      <c r="A11" s="10"/>
      <c r="B11" s="1" t="s">
        <v>5</v>
      </c>
      <c r="C11" s="235"/>
      <c r="D11" s="235">
        <v>1</v>
      </c>
      <c r="E11" s="235">
        <f>D11</f>
        <v>1</v>
      </c>
      <c r="F11" s="235"/>
      <c r="G11" s="235">
        <v>28</v>
      </c>
      <c r="H11" s="30">
        <f>G11</f>
        <v>28</v>
      </c>
      <c r="I11" s="30">
        <f>H11+E11</f>
        <v>29</v>
      </c>
      <c r="J11" s="30">
        <f>3200*I11</f>
        <v>92800</v>
      </c>
      <c r="K11" s="30">
        <f t="shared" si="0"/>
        <v>44800</v>
      </c>
      <c r="L11" s="46"/>
      <c r="M11" s="43">
        <f>J11+K11</f>
        <v>137600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29</v>
      </c>
      <c r="D13" s="37">
        <f>D15+D16+D17+D18+D19</f>
        <v>36</v>
      </c>
      <c r="E13" s="37">
        <f>SUM(E14:E19)</f>
        <v>65</v>
      </c>
      <c r="F13" s="37">
        <f>F14</f>
        <v>435</v>
      </c>
      <c r="G13" s="37">
        <f>G15+G16+G17+G18+G19</f>
        <v>540</v>
      </c>
      <c r="H13" s="37">
        <f>SUM(H14:H19)</f>
        <v>975</v>
      </c>
      <c r="I13" s="37">
        <f>SUM(I14:I19)</f>
        <v>1040</v>
      </c>
      <c r="J13" s="37">
        <f>SUM(J14:J19)</f>
        <v>3328000</v>
      </c>
      <c r="K13" s="37">
        <f>SUM(K14:K19)</f>
        <v>1560000</v>
      </c>
      <c r="L13" s="47">
        <f>L14+L15+L16+L17+L18+L19</f>
        <v>0</v>
      </c>
      <c r="M13" s="38">
        <f>SUM(M14:M19)</f>
        <v>4888000</v>
      </c>
    </row>
    <row r="14" spans="1:13">
      <c r="A14" s="12"/>
      <c r="B14" s="1" t="s">
        <v>3</v>
      </c>
      <c r="C14" s="235">
        <v>29</v>
      </c>
      <c r="D14" s="235"/>
      <c r="E14" s="235">
        <f>C14</f>
        <v>29</v>
      </c>
      <c r="F14" s="235">
        <f>C14*15</f>
        <v>435</v>
      </c>
      <c r="G14" s="235"/>
      <c r="H14" s="30">
        <f>F14</f>
        <v>435</v>
      </c>
      <c r="I14" s="30">
        <f t="shared" ref="I14:I19" si="1">H14+E14</f>
        <v>464</v>
      </c>
      <c r="J14" s="30">
        <f t="shared" ref="J14:J19" si="2">3200*I14</f>
        <v>1484800</v>
      </c>
      <c r="K14" s="30">
        <f t="shared" si="0"/>
        <v>696000</v>
      </c>
      <c r="L14" s="46"/>
      <c r="M14" s="43">
        <f t="shared" ref="M14:M19" si="3">J14+K14</f>
        <v>2180800</v>
      </c>
    </row>
    <row r="15" spans="1:13">
      <c r="A15" s="12"/>
      <c r="B15" s="1" t="s">
        <v>6</v>
      </c>
      <c r="C15" s="235"/>
      <c r="D15" s="235">
        <v>13</v>
      </c>
      <c r="E15" s="235">
        <f>D15</f>
        <v>13</v>
      </c>
      <c r="F15" s="235"/>
      <c r="G15" s="235">
        <f>D15*15</f>
        <v>195</v>
      </c>
      <c r="H15" s="30">
        <f>G15</f>
        <v>195</v>
      </c>
      <c r="I15" s="30">
        <f t="shared" si="1"/>
        <v>208</v>
      </c>
      <c r="J15" s="30">
        <f t="shared" si="2"/>
        <v>665600</v>
      </c>
      <c r="K15" s="30">
        <f t="shared" si="0"/>
        <v>312000</v>
      </c>
      <c r="L15" s="46"/>
      <c r="M15" s="43">
        <f t="shared" si="3"/>
        <v>977600</v>
      </c>
    </row>
    <row r="16" spans="1:13">
      <c r="A16" s="12"/>
      <c r="B16" s="1" t="s">
        <v>5</v>
      </c>
      <c r="C16" s="235"/>
      <c r="D16" s="235">
        <v>21</v>
      </c>
      <c r="E16" s="235">
        <f>D16</f>
        <v>21</v>
      </c>
      <c r="F16" s="235"/>
      <c r="G16" s="235">
        <f>D16*15</f>
        <v>315</v>
      </c>
      <c r="H16" s="30">
        <f>G16</f>
        <v>315</v>
      </c>
      <c r="I16" s="30">
        <f t="shared" si="1"/>
        <v>336</v>
      </c>
      <c r="J16" s="30">
        <f t="shared" si="2"/>
        <v>1075200</v>
      </c>
      <c r="K16" s="30">
        <f t="shared" si="0"/>
        <v>504000</v>
      </c>
      <c r="L16" s="46"/>
      <c r="M16" s="43">
        <f t="shared" si="3"/>
        <v>1579200</v>
      </c>
    </row>
    <row r="17" spans="1:13">
      <c r="A17" s="12"/>
      <c r="B17" s="2" t="s">
        <v>7</v>
      </c>
      <c r="C17" s="235"/>
      <c r="D17" s="235"/>
      <c r="E17" s="235">
        <f>D17</f>
        <v>0</v>
      </c>
      <c r="F17" s="235"/>
      <c r="G17" s="235">
        <f>D17*15</f>
        <v>0</v>
      </c>
      <c r="H17" s="30">
        <f>G17</f>
        <v>0</v>
      </c>
      <c r="I17" s="30">
        <f t="shared" si="1"/>
        <v>0</v>
      </c>
      <c r="J17" s="30">
        <f t="shared" si="2"/>
        <v>0</v>
      </c>
      <c r="K17" s="30">
        <f t="shared" si="0"/>
        <v>0</v>
      </c>
      <c r="L17" s="46"/>
      <c r="M17" s="43">
        <f t="shared" si="3"/>
        <v>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101</v>
      </c>
      <c r="E20" s="37">
        <f>E21</f>
        <v>101</v>
      </c>
      <c r="F20" s="37"/>
      <c r="G20" s="37">
        <f t="shared" ref="G20:M20" si="4">G21</f>
        <v>1799</v>
      </c>
      <c r="H20" s="37">
        <f t="shared" si="4"/>
        <v>1799</v>
      </c>
      <c r="I20" s="37">
        <f t="shared" si="4"/>
        <v>1910</v>
      </c>
      <c r="J20" s="37">
        <f t="shared" si="4"/>
        <v>6112000</v>
      </c>
      <c r="K20" s="37">
        <f t="shared" si="4"/>
        <v>0</v>
      </c>
      <c r="L20" s="47">
        <f t="shared" si="4"/>
        <v>0</v>
      </c>
      <c r="M20" s="38">
        <f t="shared" si="4"/>
        <v>6112000</v>
      </c>
    </row>
    <row r="21" spans="1:13">
      <c r="A21" s="10"/>
      <c r="B21" s="24" t="s">
        <v>19</v>
      </c>
      <c r="C21" s="235"/>
      <c r="D21" s="235">
        <v>101</v>
      </c>
      <c r="E21" s="235">
        <f>D21</f>
        <v>101</v>
      </c>
      <c r="F21" s="235"/>
      <c r="G21" s="235">
        <v>1799</v>
      </c>
      <c r="H21" s="30">
        <f>G20</f>
        <v>1799</v>
      </c>
      <c r="I21" s="30">
        <v>1910</v>
      </c>
      <c r="J21" s="30">
        <f>3200*I21</f>
        <v>6112000</v>
      </c>
      <c r="K21" s="30"/>
      <c r="L21" s="46"/>
      <c r="M21" s="43">
        <f>J21+K21</f>
        <v>6112000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4</v>
      </c>
      <c r="E28" s="37">
        <f>E29+E30</f>
        <v>8</v>
      </c>
      <c r="F28" s="37">
        <f>F29</f>
        <v>96</v>
      </c>
      <c r="G28" s="37">
        <f>G30</f>
        <v>112</v>
      </c>
      <c r="H28" s="38">
        <f t="shared" ref="H28:M28" si="8">H29+H30</f>
        <v>208</v>
      </c>
      <c r="I28" s="38">
        <f t="shared" si="8"/>
        <v>216</v>
      </c>
      <c r="J28" s="38">
        <f t="shared" si="8"/>
        <v>691200</v>
      </c>
      <c r="K28" s="38">
        <f t="shared" si="8"/>
        <v>332800</v>
      </c>
      <c r="L28" s="48">
        <f t="shared" si="8"/>
        <v>0</v>
      </c>
      <c r="M28" s="216">
        <f t="shared" si="8"/>
        <v>1024000</v>
      </c>
    </row>
    <row r="29" spans="1:13">
      <c r="A29" s="12"/>
      <c r="B29" s="1" t="s">
        <v>3</v>
      </c>
      <c r="C29" s="235">
        <v>4</v>
      </c>
      <c r="D29" s="235"/>
      <c r="E29" s="235">
        <f>C29</f>
        <v>4</v>
      </c>
      <c r="F29" s="235">
        <v>96</v>
      </c>
      <c r="G29" s="235"/>
      <c r="H29" s="30">
        <f>F29</f>
        <v>96</v>
      </c>
      <c r="I29" s="30">
        <f>H29+E29</f>
        <v>100</v>
      </c>
      <c r="J29" s="30">
        <f>3200*I29</f>
        <v>320000</v>
      </c>
      <c r="K29" s="30">
        <f>1600*H29</f>
        <v>153600</v>
      </c>
      <c r="L29" s="46"/>
      <c r="M29" s="43">
        <f>J29+K29</f>
        <v>473600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112</v>
      </c>
      <c r="H30" s="30">
        <f>G30</f>
        <v>112</v>
      </c>
      <c r="I30" s="30">
        <f>H30+E30</f>
        <v>116</v>
      </c>
      <c r="J30" s="30">
        <f>3200*I30</f>
        <v>371200</v>
      </c>
      <c r="K30" s="30">
        <f>1600*H30</f>
        <v>179200</v>
      </c>
      <c r="L30" s="46"/>
      <c r="M30" s="43">
        <f>J30+K30+M62</f>
        <v>550400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27</v>
      </c>
      <c r="E31" s="37">
        <f t="shared" si="9"/>
        <v>27</v>
      </c>
      <c r="F31" s="37">
        <f t="shared" si="9"/>
        <v>0</v>
      </c>
      <c r="G31" s="37">
        <f t="shared" si="9"/>
        <v>405</v>
      </c>
      <c r="H31" s="37">
        <f t="shared" si="9"/>
        <v>405</v>
      </c>
      <c r="I31" s="37">
        <f t="shared" si="9"/>
        <v>432</v>
      </c>
      <c r="J31" s="37">
        <f t="shared" si="9"/>
        <v>1382400</v>
      </c>
      <c r="K31" s="37">
        <f t="shared" si="9"/>
        <v>0</v>
      </c>
      <c r="L31" s="37">
        <f t="shared" si="9"/>
        <v>0</v>
      </c>
      <c r="M31" s="38">
        <f t="shared" si="9"/>
        <v>1382400</v>
      </c>
    </row>
    <row r="32" spans="1:13">
      <c r="A32" s="10"/>
      <c r="B32" s="24" t="s">
        <v>19</v>
      </c>
      <c r="C32" s="235"/>
      <c r="D32" s="235">
        <v>27</v>
      </c>
      <c r="E32" s="235">
        <f>D32</f>
        <v>27</v>
      </c>
      <c r="F32" s="235"/>
      <c r="G32" s="235">
        <f>E32*15</f>
        <v>405</v>
      </c>
      <c r="H32" s="30">
        <f>G32</f>
        <v>405</v>
      </c>
      <c r="I32" s="30">
        <f>H32+E32</f>
        <v>432</v>
      </c>
      <c r="J32" s="30">
        <f>3200*I32</f>
        <v>1382400</v>
      </c>
      <c r="K32" s="30"/>
      <c r="L32" s="46"/>
      <c r="M32" s="43">
        <f>J32+K32</f>
        <v>1382400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142</v>
      </c>
      <c r="G33" s="37">
        <f>G35+G36</f>
        <v>253</v>
      </c>
      <c r="H33" s="38">
        <f t="shared" ref="H33:M33" si="10">H34+H35+H36</f>
        <v>395</v>
      </c>
      <c r="I33" s="38">
        <f t="shared" si="10"/>
        <v>412</v>
      </c>
      <c r="J33" s="35">
        <f t="shared" si="10"/>
        <v>1369600</v>
      </c>
      <c r="K33" s="35">
        <f t="shared" si="10"/>
        <v>534400</v>
      </c>
      <c r="L33" s="47">
        <f t="shared" si="10"/>
        <v>0</v>
      </c>
      <c r="M33" s="216">
        <f t="shared" si="10"/>
        <v>1990400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142</v>
      </c>
      <c r="G34" s="235"/>
      <c r="H34" s="30">
        <f>F34</f>
        <v>142</v>
      </c>
      <c r="I34" s="30">
        <f>H34+E34</f>
        <v>148</v>
      </c>
      <c r="J34" s="30">
        <f>3200*I34</f>
        <v>473600</v>
      </c>
      <c r="K34" s="30">
        <f>1600*H34</f>
        <v>227200</v>
      </c>
      <c r="L34" s="46"/>
      <c r="M34" s="43">
        <f>J34+K34</f>
        <v>700800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192</v>
      </c>
      <c r="H35" s="30">
        <f>G35</f>
        <v>192</v>
      </c>
      <c r="I35" s="30">
        <f>H35+E35</f>
        <v>200</v>
      </c>
      <c r="J35" s="30">
        <f>3200*I35</f>
        <v>640000</v>
      </c>
      <c r="K35" s="30">
        <f>1600*H35</f>
        <v>307200</v>
      </c>
      <c r="L35" s="46"/>
      <c r="M35" s="43">
        <f>J35+K35+M63</f>
        <v>1033600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26</v>
      </c>
      <c r="E37" s="37">
        <f>E38</f>
        <v>26</v>
      </c>
      <c r="F37" s="37"/>
      <c r="G37" s="37">
        <f t="shared" ref="G37:M37" si="11">G38</f>
        <v>390</v>
      </c>
      <c r="H37" s="38">
        <f t="shared" si="11"/>
        <v>390</v>
      </c>
      <c r="I37" s="38">
        <f t="shared" si="11"/>
        <v>416</v>
      </c>
      <c r="J37" s="38">
        <f t="shared" si="11"/>
        <v>1664000</v>
      </c>
      <c r="K37" s="38">
        <f t="shared" si="11"/>
        <v>0</v>
      </c>
      <c r="L37" s="48">
        <f t="shared" si="11"/>
        <v>0</v>
      </c>
      <c r="M37" s="216">
        <f t="shared" si="11"/>
        <v>1664000</v>
      </c>
    </row>
    <row r="38" spans="1:13">
      <c r="A38" s="13"/>
      <c r="B38" s="96" t="s">
        <v>128</v>
      </c>
      <c r="C38" s="235"/>
      <c r="D38" s="235">
        <v>26</v>
      </c>
      <c r="E38" s="235">
        <f>D38</f>
        <v>26</v>
      </c>
      <c r="F38" s="235"/>
      <c r="G38" s="235">
        <f>E38*15</f>
        <v>390</v>
      </c>
      <c r="H38" s="30">
        <f>G38</f>
        <v>390</v>
      </c>
      <c r="I38" s="30">
        <f>H38+E38</f>
        <v>416</v>
      </c>
      <c r="J38" s="30">
        <f>4000*I38</f>
        <v>1664000</v>
      </c>
      <c r="K38" s="30"/>
      <c r="L38" s="46"/>
      <c r="M38" s="43">
        <f>J38+K38</f>
        <v>1664000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75</v>
      </c>
      <c r="H49" s="37">
        <f t="shared" si="16"/>
        <v>75</v>
      </c>
      <c r="I49" s="37">
        <f t="shared" si="16"/>
        <v>80</v>
      </c>
      <c r="J49" s="37">
        <f t="shared" si="16"/>
        <v>307200</v>
      </c>
      <c r="K49" s="37">
        <f t="shared" si="16"/>
        <v>24000</v>
      </c>
      <c r="L49" s="37">
        <f t="shared" si="16"/>
        <v>0</v>
      </c>
      <c r="M49" s="219">
        <f t="shared" si="16"/>
        <v>331200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f>E51*15</f>
        <v>60</v>
      </c>
      <c r="H51" s="30">
        <f>G51</f>
        <v>60</v>
      </c>
      <c r="I51" s="30">
        <f>H51+E51</f>
        <v>64</v>
      </c>
      <c r="J51" s="30">
        <f>4000*I51</f>
        <v>256000</v>
      </c>
      <c r="K51" s="30"/>
      <c r="L51" s="46"/>
      <c r="M51" s="43">
        <f>J51+K51+(L51*15000)</f>
        <v>256000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84</v>
      </c>
      <c r="H58" s="170">
        <f>H59</f>
        <v>84</v>
      </c>
      <c r="I58" s="170">
        <f>I59</f>
        <v>88</v>
      </c>
      <c r="J58" s="170">
        <f>J59</f>
        <v>432580</v>
      </c>
      <c r="K58" s="170">
        <f>K59</f>
        <v>238000</v>
      </c>
      <c r="L58" s="81">
        <f>L59+L63</f>
        <v>2</v>
      </c>
      <c r="M58" s="217">
        <f>M59</f>
        <v>670580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84</v>
      </c>
      <c r="H59" s="31">
        <f>G59</f>
        <v>84</v>
      </c>
      <c r="I59" s="31">
        <f>H59+E59*2</f>
        <v>88</v>
      </c>
      <c r="J59" s="79">
        <v>432580</v>
      </c>
      <c r="K59" s="31">
        <v>238000</v>
      </c>
      <c r="L59" s="49"/>
      <c r="M59" s="80">
        <f>J59+K59</f>
        <v>670580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2</v>
      </c>
      <c r="M63" s="57">
        <f>43200*L63</f>
        <v>86400</v>
      </c>
    </row>
    <row r="64" spans="1:13" ht="13.5" thickBot="1">
      <c r="A64" s="51"/>
      <c r="B64" s="42" t="s">
        <v>54</v>
      </c>
      <c r="C64" s="42">
        <f>C8+C13+C28+C33+C60</f>
        <v>40</v>
      </c>
      <c r="D64" s="42">
        <f>D8+D13+D20+D22+D24+D26+D28+D31+D33+D37+D39+D44+D47+D49+D52+D54+D56+D58</f>
        <v>223</v>
      </c>
      <c r="E64" s="42">
        <f>E8+E13+E20+E22+E24+E26+E28+E31+E33+E37+E39+E44+E47+E49+E52+E54+E56+E58+E60</f>
        <v>263</v>
      </c>
      <c r="F64" s="42">
        <f>F8+F13+F28+F33+F60</f>
        <v>697</v>
      </c>
      <c r="G64" s="42">
        <f>G8+G13+G20+G22+G24+G26+G28+G31+G33+G37+G39+G44+G47+G49+G52+G54+G56+G58</f>
        <v>4034</v>
      </c>
      <c r="H64" s="42">
        <f>H8+H13+H20+H22+H24+H26+H28+H31+H33+H37+H39+H44+H47+H49+H52+H54+H56+H58+H60</f>
        <v>4731</v>
      </c>
      <c r="I64" s="42">
        <f>I8+I13+I20+I22+I24+I26+I28+I31+I33+I37+I39+I44+I47+I49+I52+I54+I56+I58+I60</f>
        <v>5012</v>
      </c>
      <c r="J64" s="42">
        <f>J8+J13+J20+J22+J24+J26+J28+J31+J33+J37+J39+J44+J47+J49+J52+J54+J56+J58</f>
        <v>16903140</v>
      </c>
      <c r="K64" s="42">
        <f>K8+K13+K20+K22+K24+K26+K28+K31+K33+K37+K39+K44+K47+K49+K52+K54+K56+K58</f>
        <v>3265600</v>
      </c>
      <c r="L64" s="50"/>
      <c r="M64" s="42">
        <f>M8+M13+M20+M22+M24+M26+M28+M31+M33+M37+M39+M44+M47+M49+M52+M54+M56+M58+M60+M65+M66</f>
        <v>20285140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/>
      <c r="G67" s="145">
        <v>14</v>
      </c>
      <c r="H67" s="119"/>
      <c r="K67" s="97" t="s">
        <v>32</v>
      </c>
      <c r="L67" s="234">
        <f>L65+L66</f>
        <v>2</v>
      </c>
    </row>
    <row r="68" spans="2:13" ht="13.5" thickBot="1">
      <c r="B68" s="120" t="s">
        <v>75</v>
      </c>
      <c r="C68" s="131">
        <f t="shared" ref="C68:C74" si="20">F68+G68</f>
        <v>10</v>
      </c>
      <c r="D68" s="342">
        <f>C68*30000</f>
        <v>300000</v>
      </c>
      <c r="E68" s="343"/>
      <c r="F68" s="122">
        <v>3</v>
      </c>
      <c r="G68" s="139">
        <v>7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8</v>
      </c>
      <c r="D69" s="329">
        <f>C69*35000</f>
        <v>280000</v>
      </c>
      <c r="E69" s="330"/>
      <c r="F69" s="121">
        <v>7</v>
      </c>
      <c r="G69" s="138">
        <v>1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22</v>
      </c>
      <c r="D70" s="329">
        <f>C70*20000</f>
        <v>440000</v>
      </c>
      <c r="E70" s="330"/>
      <c r="F70" s="121">
        <v>7</v>
      </c>
      <c r="G70" s="138">
        <v>15</v>
      </c>
      <c r="H70" s="135"/>
      <c r="I70" s="97"/>
      <c r="K70" s="109" t="s">
        <v>132</v>
      </c>
      <c r="L70" s="163">
        <f>C77</f>
        <v>43</v>
      </c>
      <c r="M70" s="110">
        <f>D77</f>
        <v>1370000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138</v>
      </c>
      <c r="M71" s="112">
        <f>D78+D79</f>
        <v>1684000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48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>
        <f>42*5590+46*4300</f>
        <v>432580</v>
      </c>
    </row>
    <row r="77" spans="2:13" ht="14.25" thickTop="1" thickBot="1">
      <c r="B77" s="132" t="s">
        <v>54</v>
      </c>
      <c r="C77" s="160">
        <f>C67+C68+C69+(C70/2)+C71+(C72/2)+C73+(C74/2)+C75+C76</f>
        <v>43</v>
      </c>
      <c r="D77" s="344">
        <f>SUM(D67:E76)</f>
        <v>1370000</v>
      </c>
      <c r="E77" s="345"/>
      <c r="F77" s="133"/>
      <c r="G77" s="134"/>
      <c r="H77" s="119"/>
      <c r="J77">
        <f>40*3200+44*2500</f>
        <v>238000</v>
      </c>
    </row>
    <row r="78" spans="2:13" ht="13.5" thickTop="1">
      <c r="B78" s="129" t="s">
        <v>144</v>
      </c>
      <c r="C78" s="131">
        <v>43</v>
      </c>
      <c r="D78" s="346">
        <v>479000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95</v>
      </c>
      <c r="D79" s="348">
        <v>1205000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80"/>
  <sheetViews>
    <sheetView topLeftCell="A54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9</v>
      </c>
      <c r="E8" s="34">
        <f>SUM(E9:E12)</f>
        <v>10</v>
      </c>
      <c r="F8" s="34">
        <f>F9</f>
        <v>24</v>
      </c>
      <c r="G8" s="34">
        <f>G10+G11+G12</f>
        <v>255</v>
      </c>
      <c r="H8" s="35">
        <f>SUM(H9:H12)</f>
        <v>279</v>
      </c>
      <c r="I8" s="35">
        <f>SUM(I9:I12)</f>
        <v>290</v>
      </c>
      <c r="J8" s="35">
        <f>SUM(J9:J12)</f>
        <v>955200</v>
      </c>
      <c r="K8" s="35">
        <f>SUM(K9:K12)</f>
        <v>395200</v>
      </c>
      <c r="L8" s="34">
        <f>L9+L10+L11+L12</f>
        <v>0</v>
      </c>
      <c r="M8" s="35">
        <f>SUM(M9:M12)</f>
        <v>1350400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7</v>
      </c>
      <c r="E10" s="235">
        <f>D10</f>
        <v>7</v>
      </c>
      <c r="F10" s="235"/>
      <c r="G10" s="235">
        <v>195</v>
      </c>
      <c r="H10" s="30">
        <f>G10</f>
        <v>195</v>
      </c>
      <c r="I10" s="30">
        <f>H10+E10</f>
        <v>202</v>
      </c>
      <c r="J10" s="30">
        <f>3200*I10</f>
        <v>646400</v>
      </c>
      <c r="K10" s="30">
        <f t="shared" ref="K10:K19" si="0">1600*H10</f>
        <v>312000</v>
      </c>
      <c r="L10" s="46"/>
      <c r="M10" s="43">
        <f>J10+K10</f>
        <v>958400</v>
      </c>
    </row>
    <row r="11" spans="1:13">
      <c r="A11" s="10"/>
      <c r="B11" s="1" t="s">
        <v>5</v>
      </c>
      <c r="C11" s="235"/>
      <c r="D11" s="235">
        <v>1</v>
      </c>
      <c r="E11" s="235">
        <f>D11</f>
        <v>1</v>
      </c>
      <c r="F11" s="235"/>
      <c r="G11" s="235">
        <v>28</v>
      </c>
      <c r="H11" s="30">
        <f>G11</f>
        <v>28</v>
      </c>
      <c r="I11" s="30">
        <f>H11+E11</f>
        <v>29</v>
      </c>
      <c r="J11" s="30">
        <f>3200*I11</f>
        <v>92800</v>
      </c>
      <c r="K11" s="30">
        <f t="shared" si="0"/>
        <v>44800</v>
      </c>
      <c r="L11" s="46"/>
      <c r="M11" s="43">
        <f>J11+K11</f>
        <v>137600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24</v>
      </c>
      <c r="D13" s="37">
        <f>D15+D16+D17+D18+D19</f>
        <v>38</v>
      </c>
      <c r="E13" s="37">
        <f>SUM(E14:E19)</f>
        <v>62</v>
      </c>
      <c r="F13" s="37">
        <f>F14</f>
        <v>360</v>
      </c>
      <c r="G13" s="37">
        <f>G15+G16+G17+G18+G19</f>
        <v>570</v>
      </c>
      <c r="H13" s="37">
        <f>SUM(H14:H19)</f>
        <v>930</v>
      </c>
      <c r="I13" s="37">
        <f>SUM(I14:I19)</f>
        <v>992</v>
      </c>
      <c r="J13" s="37">
        <f>SUM(J14:J19)</f>
        <v>3174400</v>
      </c>
      <c r="K13" s="37">
        <f>SUM(K14:K19)</f>
        <v>1488000</v>
      </c>
      <c r="L13" s="47">
        <f>L14+L15+L16+L17+L18+L19</f>
        <v>0</v>
      </c>
      <c r="M13" s="38">
        <f>SUM(M14:M19)</f>
        <v>4662400</v>
      </c>
    </row>
    <row r="14" spans="1:13">
      <c r="A14" s="12"/>
      <c r="B14" s="1" t="s">
        <v>3</v>
      </c>
      <c r="C14" s="235">
        <v>24</v>
      </c>
      <c r="D14" s="235"/>
      <c r="E14" s="235">
        <f>C14</f>
        <v>24</v>
      </c>
      <c r="F14" s="235">
        <f>C14*15</f>
        <v>360</v>
      </c>
      <c r="G14" s="235"/>
      <c r="H14" s="30">
        <f>F14</f>
        <v>360</v>
      </c>
      <c r="I14" s="30">
        <f t="shared" ref="I14:I19" si="1">H14+E14</f>
        <v>384</v>
      </c>
      <c r="J14" s="30">
        <f t="shared" ref="J14:J19" si="2">3200*I14</f>
        <v>1228800</v>
      </c>
      <c r="K14" s="30">
        <f t="shared" si="0"/>
        <v>576000</v>
      </c>
      <c r="L14" s="46"/>
      <c r="M14" s="43">
        <f t="shared" ref="M14:M19" si="3">J14+K14</f>
        <v>1804800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23</v>
      </c>
      <c r="E16" s="235">
        <f>D16</f>
        <v>23</v>
      </c>
      <c r="F16" s="235"/>
      <c r="G16" s="235">
        <f>D16*15</f>
        <v>345</v>
      </c>
      <c r="H16" s="30">
        <f>G16</f>
        <v>345</v>
      </c>
      <c r="I16" s="30">
        <f t="shared" si="1"/>
        <v>368</v>
      </c>
      <c r="J16" s="30">
        <f t="shared" si="2"/>
        <v>1177600</v>
      </c>
      <c r="K16" s="30">
        <f t="shared" si="0"/>
        <v>552000</v>
      </c>
      <c r="L16" s="46"/>
      <c r="M16" s="43">
        <f t="shared" si="3"/>
        <v>1729600</v>
      </c>
    </row>
    <row r="17" spans="1:13">
      <c r="A17" s="12"/>
      <c r="B17" s="2" t="s">
        <v>7</v>
      </c>
      <c r="C17" s="235"/>
      <c r="D17" s="235">
        <v>2</v>
      </c>
      <c r="E17" s="235">
        <f>D17</f>
        <v>2</v>
      </c>
      <c r="F17" s="235"/>
      <c r="G17" s="235">
        <f>D17*15</f>
        <v>30</v>
      </c>
      <c r="H17" s="30">
        <f>G17</f>
        <v>30</v>
      </c>
      <c r="I17" s="30">
        <f t="shared" si="1"/>
        <v>32</v>
      </c>
      <c r="J17" s="30">
        <f t="shared" si="2"/>
        <v>102400</v>
      </c>
      <c r="K17" s="30">
        <f t="shared" si="0"/>
        <v>48000</v>
      </c>
      <c r="L17" s="46"/>
      <c r="M17" s="43">
        <f t="shared" si="3"/>
        <v>150400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102</v>
      </c>
      <c r="E20" s="37">
        <f>E21</f>
        <v>102</v>
      </c>
      <c r="F20" s="37"/>
      <c r="G20" s="37">
        <f t="shared" ref="G20:M20" si="4">G21</f>
        <v>1784</v>
      </c>
      <c r="H20" s="37">
        <f t="shared" si="4"/>
        <v>1784</v>
      </c>
      <c r="I20" s="37">
        <f t="shared" si="4"/>
        <v>1895</v>
      </c>
      <c r="J20" s="37">
        <f t="shared" si="4"/>
        <v>6064000</v>
      </c>
      <c r="K20" s="37">
        <f t="shared" si="4"/>
        <v>0</v>
      </c>
      <c r="L20" s="47">
        <f t="shared" si="4"/>
        <v>0</v>
      </c>
      <c r="M20" s="38">
        <f t="shared" si="4"/>
        <v>6064000</v>
      </c>
    </row>
    <row r="21" spans="1:13">
      <c r="A21" s="10"/>
      <c r="B21" s="24" t="s">
        <v>19</v>
      </c>
      <c r="C21" s="235"/>
      <c r="D21" s="235">
        <v>102</v>
      </c>
      <c r="E21" s="235">
        <f>D21</f>
        <v>102</v>
      </c>
      <c r="F21" s="235"/>
      <c r="G21" s="235">
        <v>1784</v>
      </c>
      <c r="H21" s="30">
        <f>G20</f>
        <v>1784</v>
      </c>
      <c r="I21" s="30">
        <v>1895</v>
      </c>
      <c r="J21" s="30">
        <f>3200*I21</f>
        <v>6064000</v>
      </c>
      <c r="K21" s="30"/>
      <c r="L21" s="46"/>
      <c r="M21" s="43">
        <f>J21+K21</f>
        <v>6064000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2</v>
      </c>
      <c r="D28" s="37">
        <f>D30</f>
        <v>3</v>
      </c>
      <c r="E28" s="37">
        <f>E29+E30</f>
        <v>5</v>
      </c>
      <c r="F28" s="37">
        <f>F29</f>
        <v>48</v>
      </c>
      <c r="G28" s="37">
        <f>G30</f>
        <v>80</v>
      </c>
      <c r="H28" s="38">
        <f t="shared" ref="H28:M28" si="8">H29+H30</f>
        <v>128</v>
      </c>
      <c r="I28" s="38">
        <f t="shared" si="8"/>
        <v>133</v>
      </c>
      <c r="J28" s="38">
        <f t="shared" si="8"/>
        <v>425600</v>
      </c>
      <c r="K28" s="38">
        <f t="shared" si="8"/>
        <v>204800</v>
      </c>
      <c r="L28" s="48">
        <f t="shared" si="8"/>
        <v>0</v>
      </c>
      <c r="M28" s="216">
        <f t="shared" si="8"/>
        <v>630400</v>
      </c>
    </row>
    <row r="29" spans="1:13">
      <c r="A29" s="12"/>
      <c r="B29" s="1" t="s">
        <v>3</v>
      </c>
      <c r="C29" s="235">
        <v>2</v>
      </c>
      <c r="D29" s="235"/>
      <c r="E29" s="235">
        <f>C29</f>
        <v>2</v>
      </c>
      <c r="F29" s="235">
        <v>48</v>
      </c>
      <c r="G29" s="235"/>
      <c r="H29" s="30">
        <f>F29</f>
        <v>48</v>
      </c>
      <c r="I29" s="30">
        <f>H29+E29</f>
        <v>50</v>
      </c>
      <c r="J29" s="30">
        <f>3200*I29</f>
        <v>160000</v>
      </c>
      <c r="K29" s="30">
        <f>1600*H29</f>
        <v>76800</v>
      </c>
      <c r="L29" s="46"/>
      <c r="M29" s="43">
        <f>J29+K29</f>
        <v>236800</v>
      </c>
    </row>
    <row r="30" spans="1:13">
      <c r="A30" s="12"/>
      <c r="B30" s="1" t="s">
        <v>11</v>
      </c>
      <c r="C30" s="235"/>
      <c r="D30" s="235">
        <v>3</v>
      </c>
      <c r="E30" s="235">
        <f>D30</f>
        <v>3</v>
      </c>
      <c r="F30" s="235"/>
      <c r="G30" s="30">
        <v>80</v>
      </c>
      <c r="H30" s="30">
        <f>G30</f>
        <v>80</v>
      </c>
      <c r="I30" s="30">
        <f>H30+E30</f>
        <v>83</v>
      </c>
      <c r="J30" s="30">
        <f>3200*I30</f>
        <v>265600</v>
      </c>
      <c r="K30" s="30">
        <f>1600*H30</f>
        <v>128000</v>
      </c>
      <c r="L30" s="46"/>
      <c r="M30" s="43">
        <f>J30+K30+M62</f>
        <v>393600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28</v>
      </c>
      <c r="E31" s="37">
        <f t="shared" si="9"/>
        <v>28</v>
      </c>
      <c r="F31" s="37">
        <f t="shared" si="9"/>
        <v>0</v>
      </c>
      <c r="G31" s="37">
        <f t="shared" si="9"/>
        <v>420</v>
      </c>
      <c r="H31" s="37">
        <f t="shared" si="9"/>
        <v>420</v>
      </c>
      <c r="I31" s="37">
        <f t="shared" si="9"/>
        <v>448</v>
      </c>
      <c r="J31" s="37">
        <f t="shared" si="9"/>
        <v>1433600</v>
      </c>
      <c r="K31" s="37">
        <f t="shared" si="9"/>
        <v>0</v>
      </c>
      <c r="L31" s="37">
        <f t="shared" si="9"/>
        <v>0</v>
      </c>
      <c r="M31" s="38">
        <f t="shared" si="9"/>
        <v>1433600</v>
      </c>
    </row>
    <row r="32" spans="1:13">
      <c r="A32" s="10"/>
      <c r="B32" s="24" t="s">
        <v>19</v>
      </c>
      <c r="C32" s="235"/>
      <c r="D32" s="235">
        <v>28</v>
      </c>
      <c r="E32" s="235">
        <f>D32</f>
        <v>28</v>
      </c>
      <c r="F32" s="235"/>
      <c r="G32" s="235">
        <f>E32*15</f>
        <v>420</v>
      </c>
      <c r="H32" s="30">
        <f>G32</f>
        <v>420</v>
      </c>
      <c r="I32" s="30">
        <f>H32+E32</f>
        <v>448</v>
      </c>
      <c r="J32" s="30">
        <f>3200*I32</f>
        <v>1433600</v>
      </c>
      <c r="K32" s="30"/>
      <c r="L32" s="46"/>
      <c r="M32" s="43">
        <f>J32+K32</f>
        <v>1433600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10</v>
      </c>
      <c r="E33" s="37">
        <f>E34+E35+E36</f>
        <v>16</v>
      </c>
      <c r="F33" s="37">
        <f>F34</f>
        <v>149</v>
      </c>
      <c r="G33" s="37">
        <f>G35+G36</f>
        <v>272</v>
      </c>
      <c r="H33" s="38">
        <f t="shared" ref="H33:M33" si="10">H34+H35+H36</f>
        <v>421</v>
      </c>
      <c r="I33" s="38">
        <f t="shared" si="10"/>
        <v>438</v>
      </c>
      <c r="J33" s="35">
        <f t="shared" si="10"/>
        <v>1452800</v>
      </c>
      <c r="K33" s="35">
        <f t="shared" si="10"/>
        <v>576000</v>
      </c>
      <c r="L33" s="47">
        <f t="shared" si="10"/>
        <v>0</v>
      </c>
      <c r="M33" s="216">
        <f t="shared" si="10"/>
        <v>2072000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149</v>
      </c>
      <c r="G34" s="235"/>
      <c r="H34" s="30">
        <f>F34</f>
        <v>149</v>
      </c>
      <c r="I34" s="30">
        <f>H34+E34</f>
        <v>155</v>
      </c>
      <c r="J34" s="30">
        <f>3200*I34</f>
        <v>496000</v>
      </c>
      <c r="K34" s="30">
        <f>1600*H34</f>
        <v>238400</v>
      </c>
      <c r="L34" s="46"/>
      <c r="M34" s="43">
        <f>J34+K34</f>
        <v>734400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211</v>
      </c>
      <c r="H35" s="30">
        <f>G35</f>
        <v>211</v>
      </c>
      <c r="I35" s="30">
        <f>H35+E35</f>
        <v>219</v>
      </c>
      <c r="J35" s="30">
        <f>3200*I35</f>
        <v>700800</v>
      </c>
      <c r="K35" s="30">
        <f>1600*H35</f>
        <v>337600</v>
      </c>
      <c r="L35" s="46"/>
      <c r="M35" s="43">
        <f>J35+K35+M63</f>
        <v>1081600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28</v>
      </c>
      <c r="E37" s="37">
        <f>E38</f>
        <v>28</v>
      </c>
      <c r="F37" s="37"/>
      <c r="G37" s="37">
        <f t="shared" ref="G37:M37" si="11">G38</f>
        <v>420</v>
      </c>
      <c r="H37" s="38">
        <f t="shared" si="11"/>
        <v>420</v>
      </c>
      <c r="I37" s="38">
        <f t="shared" si="11"/>
        <v>448</v>
      </c>
      <c r="J37" s="38">
        <f t="shared" si="11"/>
        <v>1792000</v>
      </c>
      <c r="K37" s="38">
        <f t="shared" si="11"/>
        <v>0</v>
      </c>
      <c r="L37" s="48">
        <f t="shared" si="11"/>
        <v>0</v>
      </c>
      <c r="M37" s="216">
        <f t="shared" si="11"/>
        <v>1792000</v>
      </c>
    </row>
    <row r="38" spans="1:13">
      <c r="A38" s="13"/>
      <c r="B38" s="96" t="s">
        <v>128</v>
      </c>
      <c r="C38" s="235"/>
      <c r="D38" s="235">
        <v>28</v>
      </c>
      <c r="E38" s="235">
        <f>D38</f>
        <v>28</v>
      </c>
      <c r="F38" s="235"/>
      <c r="G38" s="235">
        <f>E38*15</f>
        <v>420</v>
      </c>
      <c r="H38" s="30">
        <f>G38</f>
        <v>420</v>
      </c>
      <c r="I38" s="30">
        <f>H38+E38</f>
        <v>448</v>
      </c>
      <c r="J38" s="30">
        <f>4000*I38</f>
        <v>1792000</v>
      </c>
      <c r="K38" s="30"/>
      <c r="L38" s="46"/>
      <c r="M38" s="43">
        <f>J38+K38</f>
        <v>1792000</v>
      </c>
    </row>
    <row r="39" spans="1:13">
      <c r="A39" s="36">
        <v>11</v>
      </c>
      <c r="B39" s="33" t="s">
        <v>44</v>
      </c>
      <c r="C39" s="37"/>
      <c r="D39" s="37">
        <f>D40+D41+D42+D43</f>
        <v>0</v>
      </c>
      <c r="E39" s="37">
        <f>E40+E41+E42+E43</f>
        <v>0</v>
      </c>
      <c r="F39" s="37"/>
      <c r="G39" s="37">
        <f t="shared" ref="G39:M39" si="12">G40+G41+G42+G43</f>
        <v>0</v>
      </c>
      <c r="H39" s="38">
        <f t="shared" si="12"/>
        <v>0</v>
      </c>
      <c r="I39" s="38">
        <f t="shared" si="12"/>
        <v>0</v>
      </c>
      <c r="J39" s="45">
        <f t="shared" si="12"/>
        <v>0</v>
      </c>
      <c r="K39" s="45">
        <f t="shared" si="12"/>
        <v>0</v>
      </c>
      <c r="L39" s="47">
        <f t="shared" si="12"/>
        <v>0</v>
      </c>
      <c r="M39" s="216">
        <f t="shared" si="12"/>
        <v>0</v>
      </c>
    </row>
    <row r="40" spans="1:13">
      <c r="A40" s="9"/>
      <c r="B40" s="24" t="s">
        <v>13</v>
      </c>
      <c r="C40" s="235"/>
      <c r="D40" s="235"/>
      <c r="E40" s="235">
        <f>D40</f>
        <v>0</v>
      </c>
      <c r="F40" s="235"/>
      <c r="G40" s="235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1</v>
      </c>
      <c r="E44" s="37">
        <f>E45+E46</f>
        <v>1</v>
      </c>
      <c r="F44" s="37"/>
      <c r="G44" s="37">
        <f t="shared" ref="G44:M44" si="13">G45+G46</f>
        <v>40</v>
      </c>
      <c r="H44" s="37">
        <f t="shared" si="13"/>
        <v>40</v>
      </c>
      <c r="I44" s="37">
        <f t="shared" si="13"/>
        <v>42</v>
      </c>
      <c r="J44" s="37">
        <f t="shared" si="13"/>
        <v>234780</v>
      </c>
      <c r="K44" s="37">
        <f t="shared" si="13"/>
        <v>60000</v>
      </c>
      <c r="L44" s="37">
        <f t="shared" si="13"/>
        <v>0</v>
      </c>
      <c r="M44" s="219">
        <f t="shared" si="13"/>
        <v>294780</v>
      </c>
    </row>
    <row r="45" spans="1:13">
      <c r="A45" s="17"/>
      <c r="B45" s="25" t="s">
        <v>13</v>
      </c>
      <c r="C45" s="235"/>
      <c r="D45" s="235"/>
      <c r="E45" s="235">
        <f t="shared" ref="E45:E51" si="14">D45</f>
        <v>0</v>
      </c>
      <c r="F45" s="235"/>
      <c r="G45" s="235">
        <f>D45*40</f>
        <v>0</v>
      </c>
      <c r="H45" s="30">
        <f>G45</f>
        <v>0</v>
      </c>
      <c r="I45" s="235">
        <f>D45*42</f>
        <v>0</v>
      </c>
      <c r="J45" s="30">
        <f>5590*I45</f>
        <v>0</v>
      </c>
      <c r="K45" s="30">
        <f>1500*H45</f>
        <v>0</v>
      </c>
      <c r="L45" s="46"/>
      <c r="M45" s="43">
        <f>J45+K45</f>
        <v>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3</v>
      </c>
      <c r="E49" s="37">
        <f>E50+E51</f>
        <v>3</v>
      </c>
      <c r="F49" s="37"/>
      <c r="G49" s="37">
        <f t="shared" ref="G49:M49" si="16">G50+G51</f>
        <v>45</v>
      </c>
      <c r="H49" s="37">
        <f t="shared" si="16"/>
        <v>45</v>
      </c>
      <c r="I49" s="37">
        <f t="shared" si="16"/>
        <v>48</v>
      </c>
      <c r="J49" s="37">
        <f t="shared" si="16"/>
        <v>179200</v>
      </c>
      <c r="K49" s="37">
        <f t="shared" si="16"/>
        <v>24000</v>
      </c>
      <c r="L49" s="37">
        <f t="shared" si="16"/>
        <v>0</v>
      </c>
      <c r="M49" s="219">
        <f t="shared" si="16"/>
        <v>203200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2</v>
      </c>
      <c r="E51" s="235">
        <f t="shared" si="14"/>
        <v>2</v>
      </c>
      <c r="F51" s="235"/>
      <c r="G51" s="153">
        <f>E51*15</f>
        <v>30</v>
      </c>
      <c r="H51" s="30">
        <f>G51</f>
        <v>30</v>
      </c>
      <c r="I51" s="30">
        <f>H51+E51</f>
        <v>32</v>
      </c>
      <c r="J51" s="30">
        <f>4000*I51</f>
        <v>128000</v>
      </c>
      <c r="K51" s="30"/>
      <c r="L51" s="46"/>
      <c r="M51" s="43">
        <f>J51+K51+(L51*15000)</f>
        <v>128000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89</v>
      </c>
      <c r="H58" s="170">
        <f>H59</f>
        <v>89</v>
      </c>
      <c r="I58" s="170">
        <f>I59</f>
        <v>93</v>
      </c>
      <c r="J58" s="170">
        <f>J59</f>
        <v>399900</v>
      </c>
      <c r="K58" s="170">
        <f>K59</f>
        <v>222500</v>
      </c>
      <c r="L58" s="81">
        <f>L59+L63</f>
        <v>1</v>
      </c>
      <c r="M58" s="217">
        <f>M59</f>
        <v>622400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89</v>
      </c>
      <c r="H59" s="31">
        <f>G59</f>
        <v>89</v>
      </c>
      <c r="I59" s="31">
        <f>H59+E59*2</f>
        <v>93</v>
      </c>
      <c r="J59" s="79">
        <f>4300*I59</f>
        <v>399900</v>
      </c>
      <c r="K59" s="31">
        <f>2500*H59</f>
        <v>222500</v>
      </c>
      <c r="L59" s="49"/>
      <c r="M59" s="80">
        <f>J59+K59</f>
        <v>622400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33</v>
      </c>
      <c r="D64" s="42">
        <f>D8+D13+D20+D22+D24+D26+D28+D31+D33+D37+D39+D44+D47+D49+D52+D54+D56+D58</f>
        <v>229</v>
      </c>
      <c r="E64" s="42">
        <f>E8+E13+E20+E22+E24+E26+E28+E31+E33+E37+E39+E44+E47+E49+E52+E54+E56+E58+E60</f>
        <v>262</v>
      </c>
      <c r="F64" s="42">
        <f>F8+F13+F28+F33+F60</f>
        <v>581</v>
      </c>
      <c r="G64" s="42">
        <f>G8+G13+G20+G22+G24+G26+G28+G31+G33+G37+G39+G44+G47+G49+G52+G54+G56+G58</f>
        <v>4115</v>
      </c>
      <c r="H64" s="42">
        <f>H8+H13+H20+H22+H24+H26+H28+H31+H33+H37+H39+H44+H47+H49+H52+H54+H56+H58+H60</f>
        <v>4696</v>
      </c>
      <c r="I64" s="42">
        <f>I8+I13+I20+I22+I24+I26+I28+I31+I33+I37+I39+I44+I47+I49+I52+I54+I56+I58+I60</f>
        <v>4973</v>
      </c>
      <c r="J64" s="42">
        <f>J8+J13+J20+J22+J24+J26+J28+J31+J33+J37+J39+J44+J47+J49+J52+J54+J56+J58</f>
        <v>16642480</v>
      </c>
      <c r="K64" s="42">
        <f>K8+K13+K20+K22+K24+K26+K28+K31+K33+K37+K39+K44+K47+K49+K52+K54+K56+K58</f>
        <v>3244900</v>
      </c>
      <c r="L64" s="50"/>
      <c r="M64" s="42">
        <f>M8+M13+M20+M22+M24+M26+M28+M31+M33+M37+M39+M44+M47+M49+M52+M54+M56+M58+M60+M65+M66</f>
        <v>19975580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>
        <v>0</v>
      </c>
      <c r="G67" s="145">
        <v>14</v>
      </c>
      <c r="H67" s="119"/>
      <c r="K67" s="97" t="s">
        <v>32</v>
      </c>
      <c r="L67" s="234">
        <f>L65+L66</f>
        <v>3</v>
      </c>
    </row>
    <row r="68" spans="2:13" ht="13.5" thickBot="1">
      <c r="B68" s="120" t="s">
        <v>75</v>
      </c>
      <c r="C68" s="131">
        <f t="shared" ref="C68:C74" si="20">F68+G68</f>
        <v>9</v>
      </c>
      <c r="D68" s="342">
        <f>C68*30000</f>
        <v>270000</v>
      </c>
      <c r="E68" s="343"/>
      <c r="F68" s="122">
        <v>4</v>
      </c>
      <c r="G68" s="139">
        <v>5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9</v>
      </c>
      <c r="D69" s="329">
        <f>C69*35000</f>
        <v>315000</v>
      </c>
      <c r="E69" s="330"/>
      <c r="F69" s="121">
        <v>8</v>
      </c>
      <c r="G69" s="138">
        <v>1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17</v>
      </c>
      <c r="D70" s="329">
        <f>C70*20000</f>
        <v>340000</v>
      </c>
      <c r="E70" s="330"/>
      <c r="F70" s="121">
        <v>13</v>
      </c>
      <c r="G70" s="138">
        <v>4</v>
      </c>
      <c r="H70" s="135"/>
      <c r="I70" s="97"/>
      <c r="K70" s="109" t="s">
        <v>132</v>
      </c>
      <c r="L70" s="163">
        <f>C77</f>
        <v>41.5</v>
      </c>
      <c r="M70" s="110">
        <f>D77</f>
        <v>1339960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77</v>
      </c>
      <c r="M71" s="112">
        <f>D78+D79</f>
        <v>859000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42</v>
      </c>
      <c r="M72" s="114">
        <f>L72*20000</f>
        <v>840000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45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1</v>
      </c>
      <c r="D75" s="329">
        <f>29*2240</f>
        <v>64960</v>
      </c>
      <c r="E75" s="330"/>
      <c r="F75" s="121">
        <v>1</v>
      </c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41.5</v>
      </c>
      <c r="D77" s="344">
        <f>SUM(D67:E76)</f>
        <v>1339960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35</v>
      </c>
      <c r="D78" s="346">
        <v>428000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42</v>
      </c>
      <c r="D79" s="348">
        <v>431000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dimension ref="A1:M80"/>
  <sheetViews>
    <sheetView topLeftCell="A57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3</v>
      </c>
      <c r="E8" s="34">
        <f>SUM(E9:E12)</f>
        <v>4</v>
      </c>
      <c r="F8" s="34">
        <f>F9</f>
        <v>24</v>
      </c>
      <c r="G8" s="34">
        <f>G10+G11+G12</f>
        <v>87</v>
      </c>
      <c r="H8" s="35">
        <f>SUM(H9:H12)</f>
        <v>111</v>
      </c>
      <c r="I8" s="35">
        <f>SUM(I9:I12)</f>
        <v>116</v>
      </c>
      <c r="J8" s="35">
        <f>SUM(J9:J12)</f>
        <v>398400</v>
      </c>
      <c r="K8" s="35">
        <f>SUM(K9:K12)</f>
        <v>126400</v>
      </c>
      <c r="L8" s="34">
        <f>L9+L10+L11+L12</f>
        <v>0</v>
      </c>
      <c r="M8" s="35">
        <f>SUM(M9:M12)</f>
        <v>524800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2</v>
      </c>
      <c r="E10" s="235">
        <f>D10</f>
        <v>2</v>
      </c>
      <c r="F10" s="235"/>
      <c r="G10" s="235">
        <v>55</v>
      </c>
      <c r="H10" s="30">
        <f>G10</f>
        <v>55</v>
      </c>
      <c r="I10" s="30">
        <f>H10+E10</f>
        <v>57</v>
      </c>
      <c r="J10" s="30">
        <f>3200*I10</f>
        <v>182400</v>
      </c>
      <c r="K10" s="30">
        <f t="shared" ref="K10:K19" si="0">1600*H10</f>
        <v>88000</v>
      </c>
      <c r="L10" s="46"/>
      <c r="M10" s="43">
        <f>J10+K10</f>
        <v>270400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24</v>
      </c>
      <c r="D13" s="37">
        <f>D15+D16+D17+D18+D19</f>
        <v>35</v>
      </c>
      <c r="E13" s="37">
        <f>SUM(E14:E19)</f>
        <v>59</v>
      </c>
      <c r="F13" s="37">
        <f>F14</f>
        <v>360</v>
      </c>
      <c r="G13" s="37">
        <f>G15+G16+G17+G18+G19</f>
        <v>525</v>
      </c>
      <c r="H13" s="37">
        <f>SUM(H14:H19)</f>
        <v>885</v>
      </c>
      <c r="I13" s="37">
        <f>SUM(I14:I19)</f>
        <v>944</v>
      </c>
      <c r="J13" s="37">
        <f>SUM(J14:J19)</f>
        <v>3020800</v>
      </c>
      <c r="K13" s="37">
        <f>SUM(K14:K19)</f>
        <v>1416000</v>
      </c>
      <c r="L13" s="47">
        <f>L14+L15+L16+L17+L18+L19</f>
        <v>0</v>
      </c>
      <c r="M13" s="38">
        <f>SUM(M14:M19)</f>
        <v>4436800</v>
      </c>
    </row>
    <row r="14" spans="1:13">
      <c r="A14" s="12"/>
      <c r="B14" s="1" t="s">
        <v>3</v>
      </c>
      <c r="C14" s="235">
        <v>24</v>
      </c>
      <c r="D14" s="235"/>
      <c r="E14" s="235">
        <f>C14</f>
        <v>24</v>
      </c>
      <c r="F14" s="235">
        <f>C14*15</f>
        <v>360</v>
      </c>
      <c r="G14" s="235"/>
      <c r="H14" s="30">
        <f>F14</f>
        <v>360</v>
      </c>
      <c r="I14" s="30">
        <f t="shared" ref="I14:I19" si="1">H14+E14</f>
        <v>384</v>
      </c>
      <c r="J14" s="30">
        <f t="shared" ref="J14:J19" si="2">3200*I14</f>
        <v>1228800</v>
      </c>
      <c r="K14" s="30">
        <f t="shared" si="0"/>
        <v>576000</v>
      </c>
      <c r="L14" s="46"/>
      <c r="M14" s="43">
        <f t="shared" ref="M14:M19" si="3">J14+K14</f>
        <v>1804800</v>
      </c>
    </row>
    <row r="15" spans="1:13">
      <c r="A15" s="12"/>
      <c r="B15" s="1" t="s">
        <v>6</v>
      </c>
      <c r="C15" s="235"/>
      <c r="D15" s="235">
        <v>14</v>
      </c>
      <c r="E15" s="235">
        <f>D15</f>
        <v>14</v>
      </c>
      <c r="F15" s="235"/>
      <c r="G15" s="235">
        <f>D15*15</f>
        <v>210</v>
      </c>
      <c r="H15" s="30">
        <f>G15</f>
        <v>210</v>
      </c>
      <c r="I15" s="30">
        <f t="shared" si="1"/>
        <v>224</v>
      </c>
      <c r="J15" s="30">
        <f t="shared" si="2"/>
        <v>716800</v>
      </c>
      <c r="K15" s="30">
        <f t="shared" si="0"/>
        <v>336000</v>
      </c>
      <c r="L15" s="46"/>
      <c r="M15" s="43">
        <f t="shared" si="3"/>
        <v>1052800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2</v>
      </c>
      <c r="E19" s="235">
        <f>D19</f>
        <v>2</v>
      </c>
      <c r="F19" s="235"/>
      <c r="G19" s="235">
        <f>D19*15</f>
        <v>30</v>
      </c>
      <c r="H19" s="30">
        <f>G19</f>
        <v>30</v>
      </c>
      <c r="I19" s="30">
        <f t="shared" si="1"/>
        <v>32</v>
      </c>
      <c r="J19" s="30">
        <f t="shared" si="2"/>
        <v>102400</v>
      </c>
      <c r="K19" s="30">
        <f t="shared" si="0"/>
        <v>48000</v>
      </c>
      <c r="L19" s="46"/>
      <c r="M19" s="43">
        <f t="shared" si="3"/>
        <v>150400</v>
      </c>
    </row>
    <row r="20" spans="1:13">
      <c r="A20" s="36">
        <v>3</v>
      </c>
      <c r="B20" s="33" t="s">
        <v>22</v>
      </c>
      <c r="C20" s="37"/>
      <c r="D20" s="37">
        <f>D21</f>
        <v>125</v>
      </c>
      <c r="E20" s="37">
        <f>E21</f>
        <v>125</v>
      </c>
      <c r="F20" s="37"/>
      <c r="G20" s="37">
        <f t="shared" ref="G20:M20" si="4">G21</f>
        <v>2151</v>
      </c>
      <c r="H20" s="37">
        <f t="shared" si="4"/>
        <v>2151</v>
      </c>
      <c r="I20" s="37">
        <f t="shared" si="4"/>
        <v>2286</v>
      </c>
      <c r="J20" s="37">
        <f t="shared" si="4"/>
        <v>7315200</v>
      </c>
      <c r="K20" s="37">
        <f t="shared" si="4"/>
        <v>0</v>
      </c>
      <c r="L20" s="47">
        <f t="shared" si="4"/>
        <v>0</v>
      </c>
      <c r="M20" s="38">
        <f t="shared" si="4"/>
        <v>7315200</v>
      </c>
    </row>
    <row r="21" spans="1:13">
      <c r="A21" s="10"/>
      <c r="B21" s="24" t="s">
        <v>19</v>
      </c>
      <c r="C21" s="235"/>
      <c r="D21" s="235">
        <v>125</v>
      </c>
      <c r="E21" s="235">
        <f>D21</f>
        <v>125</v>
      </c>
      <c r="F21" s="235"/>
      <c r="G21" s="235">
        <v>2151</v>
      </c>
      <c r="H21" s="30">
        <f>G20</f>
        <v>2151</v>
      </c>
      <c r="I21" s="30">
        <v>2286</v>
      </c>
      <c r="J21" s="30">
        <f>3200*I21</f>
        <v>7315200</v>
      </c>
      <c r="K21" s="30"/>
      <c r="L21" s="46"/>
      <c r="M21" s="43">
        <f>J21+K21</f>
        <v>7315200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1</v>
      </c>
      <c r="D28" s="37">
        <f>D30</f>
        <v>5</v>
      </c>
      <c r="E28" s="37">
        <f>E29+E30</f>
        <v>6</v>
      </c>
      <c r="F28" s="37">
        <f>F29</f>
        <v>28</v>
      </c>
      <c r="G28" s="37">
        <f>G30</f>
        <v>119</v>
      </c>
      <c r="H28" s="38">
        <f t="shared" ref="H28:M28" si="8">H29+H30</f>
        <v>147</v>
      </c>
      <c r="I28" s="38">
        <f t="shared" si="8"/>
        <v>153</v>
      </c>
      <c r="J28" s="38">
        <f t="shared" si="8"/>
        <v>489600</v>
      </c>
      <c r="K28" s="38">
        <f t="shared" si="8"/>
        <v>235200</v>
      </c>
      <c r="L28" s="48">
        <f t="shared" si="8"/>
        <v>0</v>
      </c>
      <c r="M28" s="216">
        <f t="shared" si="8"/>
        <v>768000</v>
      </c>
    </row>
    <row r="29" spans="1:13">
      <c r="A29" s="12"/>
      <c r="B29" s="1" t="s">
        <v>3</v>
      </c>
      <c r="C29" s="235">
        <v>1</v>
      </c>
      <c r="D29" s="235"/>
      <c r="E29" s="235">
        <f>C29</f>
        <v>1</v>
      </c>
      <c r="F29" s="235">
        <v>28</v>
      </c>
      <c r="G29" s="235"/>
      <c r="H29" s="30">
        <f>F29</f>
        <v>28</v>
      </c>
      <c r="I29" s="30">
        <f>H29+E29</f>
        <v>29</v>
      </c>
      <c r="J29" s="30">
        <f>3200*I29</f>
        <v>92800</v>
      </c>
      <c r="K29" s="30">
        <f>1600*H29</f>
        <v>44800</v>
      </c>
      <c r="L29" s="46"/>
      <c r="M29" s="43">
        <f>J29+K29</f>
        <v>137600</v>
      </c>
    </row>
    <row r="30" spans="1:13">
      <c r="A30" s="12"/>
      <c r="B30" s="1" t="s">
        <v>11</v>
      </c>
      <c r="C30" s="235"/>
      <c r="D30" s="235">
        <v>5</v>
      </c>
      <c r="E30" s="235">
        <f>D30</f>
        <v>5</v>
      </c>
      <c r="F30" s="235"/>
      <c r="G30" s="30">
        <v>119</v>
      </c>
      <c r="H30" s="30">
        <f>G30</f>
        <v>119</v>
      </c>
      <c r="I30" s="30">
        <f>H30+E30</f>
        <v>124</v>
      </c>
      <c r="J30" s="30">
        <f>3200*I30</f>
        <v>396800</v>
      </c>
      <c r="K30" s="30">
        <f>1600*H30</f>
        <v>190400</v>
      </c>
      <c r="L30" s="46"/>
      <c r="M30" s="43">
        <f>J30+K30+M62</f>
        <v>630400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28</v>
      </c>
      <c r="E31" s="37">
        <f t="shared" si="9"/>
        <v>28</v>
      </c>
      <c r="F31" s="37">
        <f t="shared" si="9"/>
        <v>0</v>
      </c>
      <c r="G31" s="37">
        <f t="shared" si="9"/>
        <v>420</v>
      </c>
      <c r="H31" s="37">
        <f t="shared" si="9"/>
        <v>420</v>
      </c>
      <c r="I31" s="37">
        <f t="shared" si="9"/>
        <v>448</v>
      </c>
      <c r="J31" s="37">
        <f t="shared" si="9"/>
        <v>1433600</v>
      </c>
      <c r="K31" s="37">
        <f t="shared" si="9"/>
        <v>0</v>
      </c>
      <c r="L31" s="37">
        <f t="shared" si="9"/>
        <v>0</v>
      </c>
      <c r="M31" s="38">
        <f t="shared" si="9"/>
        <v>1433600</v>
      </c>
    </row>
    <row r="32" spans="1:13">
      <c r="A32" s="10"/>
      <c r="B32" s="24" t="s">
        <v>19</v>
      </c>
      <c r="C32" s="235"/>
      <c r="D32" s="235">
        <v>28</v>
      </c>
      <c r="E32" s="235">
        <f>D32</f>
        <v>28</v>
      </c>
      <c r="F32" s="235"/>
      <c r="G32" s="235">
        <f>E32*15</f>
        <v>420</v>
      </c>
      <c r="H32" s="30">
        <f>G32</f>
        <v>420</v>
      </c>
      <c r="I32" s="30">
        <f>H32+E32</f>
        <v>448</v>
      </c>
      <c r="J32" s="30">
        <f>3200*I32</f>
        <v>1433600</v>
      </c>
      <c r="K32" s="30"/>
      <c r="L32" s="46"/>
      <c r="M32" s="43">
        <f>J32+K32</f>
        <v>1433600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149</v>
      </c>
      <c r="G33" s="37">
        <f>G35+G36</f>
        <v>238</v>
      </c>
      <c r="H33" s="38">
        <f t="shared" ref="H33:M33" si="10">H34+H35+H36</f>
        <v>387</v>
      </c>
      <c r="I33" s="38">
        <f t="shared" si="10"/>
        <v>403</v>
      </c>
      <c r="J33" s="35">
        <f t="shared" si="10"/>
        <v>1340800</v>
      </c>
      <c r="K33" s="35">
        <f t="shared" si="10"/>
        <v>521600</v>
      </c>
      <c r="L33" s="47">
        <f t="shared" si="10"/>
        <v>0</v>
      </c>
      <c r="M33" s="216">
        <f t="shared" si="10"/>
        <v>1905600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149</v>
      </c>
      <c r="G34" s="235"/>
      <c r="H34" s="30">
        <f>F34</f>
        <v>149</v>
      </c>
      <c r="I34" s="30">
        <f>H34+E34</f>
        <v>155</v>
      </c>
      <c r="J34" s="30">
        <f>3200*I34</f>
        <v>496000</v>
      </c>
      <c r="K34" s="30">
        <f>1600*H34</f>
        <v>238400</v>
      </c>
      <c r="L34" s="46"/>
      <c r="M34" s="43">
        <f>J34+K34</f>
        <v>734400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177</v>
      </c>
      <c r="H35" s="30">
        <f>G35</f>
        <v>177</v>
      </c>
      <c r="I35" s="30">
        <f>H35+E35</f>
        <v>184</v>
      </c>
      <c r="J35" s="30">
        <f>3200*I35</f>
        <v>588800</v>
      </c>
      <c r="K35" s="30">
        <f>1600*H35</f>
        <v>283200</v>
      </c>
      <c r="L35" s="46"/>
      <c r="M35" s="43">
        <f>J35+K35+M63</f>
        <v>915200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29</v>
      </c>
      <c r="E37" s="37">
        <f>E38</f>
        <v>29</v>
      </c>
      <c r="F37" s="37"/>
      <c r="G37" s="37">
        <f t="shared" ref="G37:M37" si="11">G38</f>
        <v>435</v>
      </c>
      <c r="H37" s="38">
        <f t="shared" si="11"/>
        <v>435</v>
      </c>
      <c r="I37" s="38">
        <f t="shared" si="11"/>
        <v>464</v>
      </c>
      <c r="J37" s="38">
        <f t="shared" si="11"/>
        <v>1856000</v>
      </c>
      <c r="K37" s="38">
        <f t="shared" si="11"/>
        <v>0</v>
      </c>
      <c r="L37" s="48">
        <f t="shared" si="11"/>
        <v>0</v>
      </c>
      <c r="M37" s="216">
        <f t="shared" si="11"/>
        <v>1856000</v>
      </c>
    </row>
    <row r="38" spans="1:13">
      <c r="A38" s="13"/>
      <c r="B38" s="96" t="s">
        <v>128</v>
      </c>
      <c r="C38" s="235"/>
      <c r="D38" s="235">
        <v>29</v>
      </c>
      <c r="E38" s="235">
        <f>D38</f>
        <v>29</v>
      </c>
      <c r="F38" s="235"/>
      <c r="G38" s="235">
        <f>E38*15</f>
        <v>435</v>
      </c>
      <c r="H38" s="30">
        <f>G38</f>
        <v>435</v>
      </c>
      <c r="I38" s="30">
        <f>H38+E38</f>
        <v>464</v>
      </c>
      <c r="J38" s="30">
        <f>4000*I38</f>
        <v>1856000</v>
      </c>
      <c r="K38" s="30"/>
      <c r="L38" s="46"/>
      <c r="M38" s="43">
        <f>J38+K38</f>
        <v>1856000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6</v>
      </c>
      <c r="E49" s="37">
        <f>E50+E51</f>
        <v>6</v>
      </c>
      <c r="F49" s="37"/>
      <c r="G49" s="37">
        <f t="shared" ref="G49:M49" si="16">G50+G51</f>
        <v>103</v>
      </c>
      <c r="H49" s="37">
        <f t="shared" si="16"/>
        <v>103</v>
      </c>
      <c r="I49" s="37">
        <f t="shared" si="16"/>
        <v>109</v>
      </c>
      <c r="J49" s="37">
        <f t="shared" si="16"/>
        <v>412800</v>
      </c>
      <c r="K49" s="37">
        <f t="shared" si="16"/>
        <v>44800</v>
      </c>
      <c r="L49" s="37">
        <f t="shared" si="16"/>
        <v>0</v>
      </c>
      <c r="M49" s="219">
        <f t="shared" si="16"/>
        <v>457600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35"/>
      <c r="D51" s="235">
        <v>5</v>
      </c>
      <c r="E51" s="235">
        <f t="shared" si="14"/>
        <v>5</v>
      </c>
      <c r="F51" s="235"/>
      <c r="G51" s="153">
        <f>E51*15</f>
        <v>75</v>
      </c>
      <c r="H51" s="30">
        <f>G51</f>
        <v>75</v>
      </c>
      <c r="I51" s="30">
        <f>H51+E51</f>
        <v>80</v>
      </c>
      <c r="J51" s="30">
        <f>4000*I51</f>
        <v>320000</v>
      </c>
      <c r="K51" s="30"/>
      <c r="L51" s="46"/>
      <c r="M51" s="43">
        <f>J51+K51+(L51*15000)</f>
        <v>320000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1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32</v>
      </c>
      <c r="D64" s="42">
        <f>D8+D13+D20+D22+D24+D26+D28+D31+D33+D37+D39+D44+D47+D49+D52+D54+D56+D58</f>
        <v>249</v>
      </c>
      <c r="E64" s="42">
        <f>E8+E13+E20+E22+E24+E26+E28+E31+E33+E37+E39+E44+E47+E49+E52+E54+E56+E58+E60</f>
        <v>281</v>
      </c>
      <c r="F64" s="42">
        <f>F8+F13+F28+F33+F60</f>
        <v>561</v>
      </c>
      <c r="G64" s="42">
        <f>G8+G13+G20+G22+G24+G26+G28+G31+G33+G37+G39+G44+G47+G49+G52+G54+G56+G58</f>
        <v>4394</v>
      </c>
      <c r="H64" s="42">
        <f>H8+H13+H20+H22+H24+H26+H28+H31+H33+H37+H39+H44+H47+H49+H52+H54+H56+H58+H60</f>
        <v>4955</v>
      </c>
      <c r="I64" s="42">
        <f>I8+I13+I20+I22+I24+I26+I28+I31+I33+I37+I39+I44+I47+I49+I52+I54+I56+I58+I60</f>
        <v>5254</v>
      </c>
      <c r="J64" s="42">
        <f>J8+J13+J20+J22+J24+J26+J28+J31+J33+J37+J39+J44+J47+J49+J52+J54+J56+J58</f>
        <v>17792260</v>
      </c>
      <c r="K64" s="42">
        <f>K8+K13+K20+K22+K24+K26+K28+K31+K33+K37+K39+K44+K47+K49+K52+K54+K56+K58</f>
        <v>2898200</v>
      </c>
      <c r="L64" s="50"/>
      <c r="M64" s="42">
        <f>M8+M13+M20+M22+M24+M26+M28+M31+M33+M37+M39+M44+M47+M49+M52+M54+M56+M58+M60+M65+M66</f>
        <v>20861860</v>
      </c>
    </row>
    <row r="65" spans="2:13" ht="14.25" thickTop="1" thickBot="1">
      <c r="D65" s="337"/>
      <c r="E65" s="337"/>
      <c r="J65" s="115"/>
      <c r="K65" s="149" t="s">
        <v>96</v>
      </c>
      <c r="L65" s="147">
        <v>2</v>
      </c>
      <c r="M65" s="149">
        <f>20000*L65</f>
        <v>40000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16</v>
      </c>
      <c r="D67" s="340">
        <f>C67*25000</f>
        <v>400000</v>
      </c>
      <c r="E67" s="341"/>
      <c r="F67" s="131">
        <v>0</v>
      </c>
      <c r="G67" s="145">
        <v>16</v>
      </c>
      <c r="H67" s="119"/>
      <c r="K67" s="97" t="s">
        <v>32</v>
      </c>
      <c r="L67" s="234">
        <f>L65+L66</f>
        <v>5</v>
      </c>
    </row>
    <row r="68" spans="2:13" ht="13.5" thickBot="1">
      <c r="B68" s="120" t="s">
        <v>75</v>
      </c>
      <c r="C68" s="131">
        <f t="shared" ref="C68:C74" si="20">F68+G68</f>
        <v>16</v>
      </c>
      <c r="D68" s="342">
        <f>C68*30000</f>
        <v>480000</v>
      </c>
      <c r="E68" s="343"/>
      <c r="F68" s="122">
        <v>4</v>
      </c>
      <c r="G68" s="139">
        <v>12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8</v>
      </c>
      <c r="D69" s="329">
        <f>C69*35000</f>
        <v>280000</v>
      </c>
      <c r="E69" s="330"/>
      <c r="F69" s="121">
        <v>2</v>
      </c>
      <c r="G69" s="138">
        <v>6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9</v>
      </c>
      <c r="D70" s="329">
        <f>C70*20000</f>
        <v>180000</v>
      </c>
      <c r="E70" s="330"/>
      <c r="F70" s="121">
        <v>4</v>
      </c>
      <c r="G70" s="138">
        <v>5</v>
      </c>
      <c r="H70" s="135"/>
      <c r="I70" s="97"/>
      <c r="K70" s="109" t="s">
        <v>132</v>
      </c>
      <c r="L70" s="163">
        <f>C77</f>
        <v>44.5</v>
      </c>
      <c r="M70" s="110">
        <f>D77</f>
        <v>1340000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87</v>
      </c>
      <c r="M71" s="112">
        <f>D78+D79</f>
        <v>993000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49</v>
      </c>
      <c r="M72" s="114">
        <f>L72*20000</f>
        <v>980000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54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44.5</v>
      </c>
      <c r="D77" s="344">
        <f>SUM(D67:E76)</f>
        <v>1340000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12</v>
      </c>
      <c r="D78" s="346">
        <v>107000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75</v>
      </c>
      <c r="D79" s="348">
        <v>886000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dimension ref="A1:M80"/>
  <sheetViews>
    <sheetView topLeftCell="A62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2</v>
      </c>
      <c r="E8" s="34">
        <f>SUM(E9:E12)</f>
        <v>3</v>
      </c>
      <c r="F8" s="34">
        <f>F9</f>
        <v>24</v>
      </c>
      <c r="G8" s="34">
        <f>G10+G11+G12</f>
        <v>56</v>
      </c>
      <c r="H8" s="35">
        <f>SUM(H9:H12)</f>
        <v>80</v>
      </c>
      <c r="I8" s="35">
        <f>SUM(I9:I12)</f>
        <v>84</v>
      </c>
      <c r="J8" s="35">
        <f>SUM(J9:J12)</f>
        <v>296000</v>
      </c>
      <c r="K8" s="35">
        <f>SUM(K9:K12)</f>
        <v>76800</v>
      </c>
      <c r="L8" s="34">
        <f>L9+L10+L11+L12</f>
        <v>0</v>
      </c>
      <c r="M8" s="35">
        <f>SUM(M9:M12)</f>
        <v>372800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1</v>
      </c>
      <c r="E10" s="235">
        <f>D10</f>
        <v>1</v>
      </c>
      <c r="F10" s="235"/>
      <c r="G10" s="235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22</v>
      </c>
      <c r="D13" s="37">
        <f>D15+D16+D17+D18+D19</f>
        <v>34</v>
      </c>
      <c r="E13" s="37">
        <f>SUM(E14:E19)</f>
        <v>56</v>
      </c>
      <c r="F13" s="37">
        <f>F14</f>
        <v>330</v>
      </c>
      <c r="G13" s="37">
        <f>G15+G16+G17+G18+G19</f>
        <v>510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7">
        <f>L14+L15+L16+L17+L18+L19</f>
        <v>0</v>
      </c>
      <c r="M13" s="38">
        <f>SUM(M14:M19)</f>
        <v>4211200</v>
      </c>
    </row>
    <row r="14" spans="1:13">
      <c r="A14" s="12"/>
      <c r="B14" s="1" t="s">
        <v>3</v>
      </c>
      <c r="C14" s="235">
        <v>22</v>
      </c>
      <c r="D14" s="235"/>
      <c r="E14" s="235">
        <f>C14</f>
        <v>22</v>
      </c>
      <c r="F14" s="235">
        <f>C14*15</f>
        <v>330</v>
      </c>
      <c r="G14" s="235"/>
      <c r="H14" s="30">
        <f>F14</f>
        <v>330</v>
      </c>
      <c r="I14" s="30">
        <f t="shared" ref="I14:I19" si="1">H14+E14</f>
        <v>352</v>
      </c>
      <c r="J14" s="30">
        <f t="shared" ref="J14:J19" si="2">3200*I14</f>
        <v>1126400</v>
      </c>
      <c r="K14" s="30">
        <f t="shared" si="0"/>
        <v>528000</v>
      </c>
      <c r="L14" s="46"/>
      <c r="M14" s="43">
        <f t="shared" ref="M14:M19" si="3">J14+K14</f>
        <v>1654400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19</v>
      </c>
      <c r="E16" s="235">
        <f>D16</f>
        <v>19</v>
      </c>
      <c r="F16" s="235"/>
      <c r="G16" s="235">
        <f>D16*15</f>
        <v>285</v>
      </c>
      <c r="H16" s="30">
        <f>G16</f>
        <v>285</v>
      </c>
      <c r="I16" s="30">
        <f t="shared" si="1"/>
        <v>304</v>
      </c>
      <c r="J16" s="30">
        <f t="shared" si="2"/>
        <v>972800</v>
      </c>
      <c r="K16" s="30">
        <f t="shared" si="0"/>
        <v>456000</v>
      </c>
      <c r="L16" s="46"/>
      <c r="M16" s="43">
        <f t="shared" si="3"/>
        <v>1428800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2</v>
      </c>
      <c r="E19" s="235">
        <f>D19</f>
        <v>2</v>
      </c>
      <c r="F19" s="235"/>
      <c r="G19" s="235">
        <f>D19*15</f>
        <v>30</v>
      </c>
      <c r="H19" s="30">
        <f>G19</f>
        <v>30</v>
      </c>
      <c r="I19" s="30">
        <f t="shared" si="1"/>
        <v>32</v>
      </c>
      <c r="J19" s="30">
        <f t="shared" si="2"/>
        <v>102400</v>
      </c>
      <c r="K19" s="30">
        <f t="shared" si="0"/>
        <v>48000</v>
      </c>
      <c r="L19" s="46"/>
      <c r="M19" s="43">
        <f t="shared" si="3"/>
        <v>150400</v>
      </c>
    </row>
    <row r="20" spans="1:13">
      <c r="A20" s="36">
        <v>3</v>
      </c>
      <c r="B20" s="33" t="s">
        <v>22</v>
      </c>
      <c r="C20" s="37"/>
      <c r="D20" s="37">
        <f>D21</f>
        <v>84</v>
      </c>
      <c r="E20" s="37">
        <f>E21</f>
        <v>84</v>
      </c>
      <c r="F20" s="37"/>
      <c r="G20" s="37">
        <f t="shared" ref="G20:M20" si="4">G21</f>
        <v>1342</v>
      </c>
      <c r="H20" s="37">
        <f t="shared" si="4"/>
        <v>1342</v>
      </c>
      <c r="I20" s="37">
        <f t="shared" si="4"/>
        <v>1429</v>
      </c>
      <c r="J20" s="37">
        <f t="shared" si="4"/>
        <v>4572800</v>
      </c>
      <c r="K20" s="37">
        <f t="shared" si="4"/>
        <v>0</v>
      </c>
      <c r="L20" s="47">
        <f t="shared" si="4"/>
        <v>0</v>
      </c>
      <c r="M20" s="38">
        <f t="shared" si="4"/>
        <v>4572800</v>
      </c>
    </row>
    <row r="21" spans="1:13">
      <c r="A21" s="10"/>
      <c r="B21" s="24" t="s">
        <v>19</v>
      </c>
      <c r="C21" s="235"/>
      <c r="D21" s="235">
        <v>84</v>
      </c>
      <c r="E21" s="235">
        <f>D21</f>
        <v>84</v>
      </c>
      <c r="F21" s="235"/>
      <c r="G21" s="235">
        <v>1342</v>
      </c>
      <c r="H21" s="30">
        <f>G20</f>
        <v>1342</v>
      </c>
      <c r="I21" s="30">
        <v>1429</v>
      </c>
      <c r="J21" s="30">
        <f>3200*I21</f>
        <v>4572800</v>
      </c>
      <c r="K21" s="30"/>
      <c r="L21" s="46"/>
      <c r="M21" s="43">
        <f>J21+K21</f>
        <v>4572800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1</v>
      </c>
      <c r="D28" s="37">
        <f>D30</f>
        <v>5</v>
      </c>
      <c r="E28" s="37">
        <f>E29+E30</f>
        <v>6</v>
      </c>
      <c r="F28" s="37">
        <f>F29</f>
        <v>28</v>
      </c>
      <c r="G28" s="37">
        <f>G30</f>
        <v>119</v>
      </c>
      <c r="H28" s="38">
        <f t="shared" ref="H28:M28" si="8">H29+H30</f>
        <v>147</v>
      </c>
      <c r="I28" s="38">
        <f t="shared" si="8"/>
        <v>153</v>
      </c>
      <c r="J28" s="38">
        <f t="shared" si="8"/>
        <v>489600</v>
      </c>
      <c r="K28" s="38">
        <f t="shared" si="8"/>
        <v>235200</v>
      </c>
      <c r="L28" s="48">
        <f t="shared" si="8"/>
        <v>0</v>
      </c>
      <c r="M28" s="216">
        <f t="shared" si="8"/>
        <v>768000</v>
      </c>
    </row>
    <row r="29" spans="1:13">
      <c r="A29" s="12"/>
      <c r="B29" s="1" t="s">
        <v>3</v>
      </c>
      <c r="C29" s="235">
        <v>1</v>
      </c>
      <c r="D29" s="235"/>
      <c r="E29" s="235">
        <f>C29</f>
        <v>1</v>
      </c>
      <c r="F29" s="235">
        <v>28</v>
      </c>
      <c r="G29" s="235"/>
      <c r="H29" s="30">
        <f>F29</f>
        <v>28</v>
      </c>
      <c r="I29" s="30">
        <f>H29+E29</f>
        <v>29</v>
      </c>
      <c r="J29" s="30">
        <f>3200*I29</f>
        <v>92800</v>
      </c>
      <c r="K29" s="30">
        <f>1600*H29</f>
        <v>44800</v>
      </c>
      <c r="L29" s="46"/>
      <c r="M29" s="43">
        <f>J29+K29</f>
        <v>137600</v>
      </c>
    </row>
    <row r="30" spans="1:13">
      <c r="A30" s="12"/>
      <c r="B30" s="1" t="s">
        <v>11</v>
      </c>
      <c r="C30" s="235"/>
      <c r="D30" s="235">
        <v>5</v>
      </c>
      <c r="E30" s="235">
        <f>D30</f>
        <v>5</v>
      </c>
      <c r="F30" s="235"/>
      <c r="G30" s="30">
        <v>119</v>
      </c>
      <c r="H30" s="30">
        <f>G30</f>
        <v>119</v>
      </c>
      <c r="I30" s="30">
        <f>H30+E30</f>
        <v>124</v>
      </c>
      <c r="J30" s="30">
        <f>3200*I30</f>
        <v>396800</v>
      </c>
      <c r="K30" s="30">
        <f>1600*H30</f>
        <v>190400</v>
      </c>
      <c r="L30" s="46"/>
      <c r="M30" s="43">
        <f>J30+K30+M62</f>
        <v>630400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26</v>
      </c>
      <c r="E31" s="37">
        <f t="shared" si="9"/>
        <v>26</v>
      </c>
      <c r="F31" s="37">
        <f t="shared" si="9"/>
        <v>0</v>
      </c>
      <c r="G31" s="37">
        <f t="shared" si="9"/>
        <v>390</v>
      </c>
      <c r="H31" s="37">
        <f t="shared" si="9"/>
        <v>390</v>
      </c>
      <c r="I31" s="37">
        <f t="shared" si="9"/>
        <v>416</v>
      </c>
      <c r="J31" s="37">
        <f t="shared" si="9"/>
        <v>1331200</v>
      </c>
      <c r="K31" s="37">
        <f t="shared" si="9"/>
        <v>0</v>
      </c>
      <c r="L31" s="37">
        <f t="shared" si="9"/>
        <v>0</v>
      </c>
      <c r="M31" s="38">
        <f t="shared" si="9"/>
        <v>1331200</v>
      </c>
    </row>
    <row r="32" spans="1:13">
      <c r="A32" s="10"/>
      <c r="B32" s="24" t="s">
        <v>19</v>
      </c>
      <c r="C32" s="235"/>
      <c r="D32" s="235">
        <v>26</v>
      </c>
      <c r="E32" s="235">
        <f>D32</f>
        <v>26</v>
      </c>
      <c r="F32" s="235"/>
      <c r="G32" s="235">
        <f>E32*15</f>
        <v>390</v>
      </c>
      <c r="H32" s="30">
        <f>G32</f>
        <v>390</v>
      </c>
      <c r="I32" s="30">
        <f>H32+E32</f>
        <v>416</v>
      </c>
      <c r="J32" s="30">
        <f>3200*I32</f>
        <v>1331200</v>
      </c>
      <c r="K32" s="30"/>
      <c r="L32" s="46"/>
      <c r="M32" s="43">
        <f>J32+K32</f>
        <v>1331200</v>
      </c>
    </row>
    <row r="33" spans="1:13">
      <c r="A33" s="36">
        <v>9</v>
      </c>
      <c r="B33" s="33" t="s">
        <v>27</v>
      </c>
      <c r="C33" s="37">
        <f>C34</f>
        <v>5</v>
      </c>
      <c r="D33" s="37">
        <f>D35+D36</f>
        <v>8</v>
      </c>
      <c r="E33" s="37">
        <f>E34+E35+E36</f>
        <v>13</v>
      </c>
      <c r="F33" s="37">
        <f>F34</f>
        <v>121</v>
      </c>
      <c r="G33" s="37">
        <f>G35+G36</f>
        <v>216</v>
      </c>
      <c r="H33" s="38">
        <f t="shared" ref="H33:M33" si="10">H34+H35+H36</f>
        <v>337</v>
      </c>
      <c r="I33" s="38">
        <f t="shared" si="10"/>
        <v>351</v>
      </c>
      <c r="J33" s="35">
        <f t="shared" si="10"/>
        <v>1174400</v>
      </c>
      <c r="K33" s="35">
        <f t="shared" si="10"/>
        <v>441600</v>
      </c>
      <c r="L33" s="47">
        <f t="shared" si="10"/>
        <v>0</v>
      </c>
      <c r="M33" s="216">
        <f t="shared" si="10"/>
        <v>1659200</v>
      </c>
    </row>
    <row r="34" spans="1:13">
      <c r="A34" s="12"/>
      <c r="B34" s="1" t="s">
        <v>3</v>
      </c>
      <c r="C34" s="235">
        <v>5</v>
      </c>
      <c r="D34" s="235"/>
      <c r="E34" s="235">
        <f>C34</f>
        <v>5</v>
      </c>
      <c r="F34" s="235">
        <v>121</v>
      </c>
      <c r="G34" s="235"/>
      <c r="H34" s="30">
        <f>F34</f>
        <v>121</v>
      </c>
      <c r="I34" s="30">
        <f>H34+E34</f>
        <v>126</v>
      </c>
      <c r="J34" s="30">
        <f>3200*I34</f>
        <v>403200</v>
      </c>
      <c r="K34" s="30">
        <f>1600*H34</f>
        <v>193600</v>
      </c>
      <c r="L34" s="46"/>
      <c r="M34" s="43">
        <f>J34+K34</f>
        <v>596800</v>
      </c>
    </row>
    <row r="35" spans="1:13">
      <c r="A35" s="13"/>
      <c r="B35" s="1" t="s">
        <v>12</v>
      </c>
      <c r="C35" s="235"/>
      <c r="D35" s="235">
        <v>6</v>
      </c>
      <c r="E35" s="235">
        <f>D35</f>
        <v>6</v>
      </c>
      <c r="F35" s="235"/>
      <c r="G35" s="235">
        <v>155</v>
      </c>
      <c r="H35" s="30">
        <f>G35</f>
        <v>155</v>
      </c>
      <c r="I35" s="30">
        <f>H35+E35</f>
        <v>161</v>
      </c>
      <c r="J35" s="30">
        <f>3200*I35</f>
        <v>515200</v>
      </c>
      <c r="K35" s="30">
        <f>1600*H35</f>
        <v>248000</v>
      </c>
      <c r="L35" s="46"/>
      <c r="M35" s="43">
        <f>J35+K35+M63</f>
        <v>806400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23</v>
      </c>
      <c r="E37" s="37">
        <f>E38</f>
        <v>23</v>
      </c>
      <c r="F37" s="37"/>
      <c r="G37" s="37">
        <f t="shared" ref="G37:M37" si="11">G38</f>
        <v>345</v>
      </c>
      <c r="H37" s="38">
        <f t="shared" si="11"/>
        <v>345</v>
      </c>
      <c r="I37" s="38">
        <f t="shared" si="11"/>
        <v>368</v>
      </c>
      <c r="J37" s="38">
        <f t="shared" si="11"/>
        <v>1472000</v>
      </c>
      <c r="K37" s="38">
        <f t="shared" si="11"/>
        <v>0</v>
      </c>
      <c r="L37" s="48">
        <f t="shared" si="11"/>
        <v>0</v>
      </c>
      <c r="M37" s="216">
        <f t="shared" si="11"/>
        <v>1472000</v>
      </c>
    </row>
    <row r="38" spans="1:13">
      <c r="A38" s="13"/>
      <c r="B38" s="96" t="s">
        <v>128</v>
      </c>
      <c r="C38" s="235"/>
      <c r="D38" s="235">
        <v>23</v>
      </c>
      <c r="E38" s="235">
        <f>D38</f>
        <v>23</v>
      </c>
      <c r="F38" s="235"/>
      <c r="G38" s="235">
        <f>E38*15</f>
        <v>345</v>
      </c>
      <c r="H38" s="30">
        <f>G38</f>
        <v>345</v>
      </c>
      <c r="I38" s="30">
        <f>H38+E38</f>
        <v>368</v>
      </c>
      <c r="J38" s="30">
        <f>4000*I38</f>
        <v>1472000</v>
      </c>
      <c r="K38" s="30"/>
      <c r="L38" s="46"/>
      <c r="M38" s="43">
        <f>J38+K38</f>
        <v>1472000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4</v>
      </c>
      <c r="E49" s="37">
        <f>E50+E51</f>
        <v>4</v>
      </c>
      <c r="F49" s="37"/>
      <c r="G49" s="37">
        <f t="shared" ref="G49:M49" si="16">G50+G51</f>
        <v>86</v>
      </c>
      <c r="H49" s="37">
        <f t="shared" si="16"/>
        <v>86</v>
      </c>
      <c r="I49" s="37">
        <f t="shared" si="16"/>
        <v>90</v>
      </c>
      <c r="J49" s="37">
        <f t="shared" si="16"/>
        <v>336800</v>
      </c>
      <c r="K49" s="37">
        <f t="shared" si="16"/>
        <v>44800</v>
      </c>
      <c r="L49" s="37">
        <f t="shared" si="16"/>
        <v>0</v>
      </c>
      <c r="M49" s="219">
        <f t="shared" si="16"/>
        <v>381600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35"/>
      <c r="D51" s="235">
        <v>3</v>
      </c>
      <c r="E51" s="235">
        <f t="shared" si="14"/>
        <v>3</v>
      </c>
      <c r="F51" s="235"/>
      <c r="G51" s="153">
        <v>58</v>
      </c>
      <c r="H51" s="30">
        <f>G51</f>
        <v>58</v>
      </c>
      <c r="I51" s="30">
        <f>H51+E51</f>
        <v>61</v>
      </c>
      <c r="J51" s="30">
        <f>4000*I51</f>
        <v>244000</v>
      </c>
      <c r="K51" s="30"/>
      <c r="L51" s="46"/>
      <c r="M51" s="43">
        <f>J51+K51+(L51*15000)</f>
        <v>244000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45</v>
      </c>
      <c r="H58" s="170">
        <f>H59</f>
        <v>45</v>
      </c>
      <c r="I58" s="170">
        <f>I59</f>
        <v>47</v>
      </c>
      <c r="J58" s="170">
        <f>J59</f>
        <v>202100</v>
      </c>
      <c r="K58" s="170">
        <f>K59</f>
        <v>112500</v>
      </c>
      <c r="L58" s="81">
        <f>L59+L63</f>
        <v>1</v>
      </c>
      <c r="M58" s="217">
        <f>M59</f>
        <v>314600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45</v>
      </c>
      <c r="H59" s="31">
        <f>G59</f>
        <v>45</v>
      </c>
      <c r="I59" s="31">
        <f>H59+E59*2</f>
        <v>47</v>
      </c>
      <c r="J59" s="79">
        <f>4300*I59</f>
        <v>202100</v>
      </c>
      <c r="K59" s="31">
        <f>2500*H59</f>
        <v>112500</v>
      </c>
      <c r="L59" s="49"/>
      <c r="M59" s="80">
        <f>J59+K59</f>
        <v>314600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29</v>
      </c>
      <c r="D64" s="42">
        <f>D8+D13+D20+D22+D24+D26+D28+D31+D33+D37+D39+D44+D47+D49+D52+D54+D56+D58</f>
        <v>195</v>
      </c>
      <c r="E64" s="42">
        <f>E8+E13+E20+E22+E24+E26+E28+E31+E33+E37+E39+E44+E47+E49+E52+E54+E56+E58+E60</f>
        <v>224</v>
      </c>
      <c r="F64" s="42">
        <f>F8+F13+F28+F33+F60</f>
        <v>503</v>
      </c>
      <c r="G64" s="42">
        <f>G8+G13+G20+G22+G24+G26+G28+G31+G33+G37+G39+G44+G47+G49+G52+G54+G56+G58</f>
        <v>3371</v>
      </c>
      <c r="H64" s="42">
        <f>H8+H13+H20+H22+H24+H26+H28+H31+H33+H37+H39+H44+H47+H49+H52+H54+H56+H58+H60</f>
        <v>3874</v>
      </c>
      <c r="I64" s="42">
        <f>I8+I13+I20+I22+I24+I26+I28+I31+I33+I37+I39+I44+I47+I49+I52+I54+I56+I58+I60</f>
        <v>4108</v>
      </c>
      <c r="J64" s="42">
        <f>J8+J13+J20+J22+J24+J26+J28+J31+J33+J37+J39+J44+J47+J49+J52+J54+J56+J58</f>
        <v>13934060</v>
      </c>
      <c r="K64" s="42">
        <f>K8+K13+K20+K22+K24+K26+K28+K31+K33+K37+K39+K44+K47+K49+K52+K54+K56+K58</f>
        <v>2712100</v>
      </c>
      <c r="L64" s="50"/>
      <c r="M64" s="42">
        <f>M8+M13+M20+M22+M24+M26+M28+M31+M33+M37+M39+M44+M47+M49+M52+M54+M56+M58+M60+M65+M66</f>
        <v>16762560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16</v>
      </c>
      <c r="D67" s="340">
        <f>C67*25000</f>
        <v>400000</v>
      </c>
      <c r="E67" s="341"/>
      <c r="F67" s="131">
        <v>1</v>
      </c>
      <c r="G67" s="145">
        <v>15</v>
      </c>
      <c r="H67" s="119"/>
      <c r="K67" s="97" t="s">
        <v>32</v>
      </c>
      <c r="L67" s="234">
        <f>L65+L66</f>
        <v>2</v>
      </c>
    </row>
    <row r="68" spans="2:13" ht="13.5" thickBot="1">
      <c r="B68" s="120" t="s">
        <v>75</v>
      </c>
      <c r="C68" s="131">
        <f t="shared" ref="C68:C74" si="20">F68+G68</f>
        <v>58</v>
      </c>
      <c r="D68" s="342">
        <f>C68*30000</f>
        <v>1740000</v>
      </c>
      <c r="E68" s="343"/>
      <c r="F68" s="122">
        <v>9</v>
      </c>
      <c r="G68" s="139">
        <v>49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7</v>
      </c>
      <c r="D69" s="329">
        <f>C69*35000</f>
        <v>245000</v>
      </c>
      <c r="E69" s="330"/>
      <c r="F69" s="121">
        <v>2</v>
      </c>
      <c r="G69" s="138">
        <v>5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15</v>
      </c>
      <c r="D70" s="329">
        <f>C70*20000</f>
        <v>300000</v>
      </c>
      <c r="E70" s="330"/>
      <c r="F70" s="121">
        <v>12</v>
      </c>
      <c r="G70" s="138">
        <v>3</v>
      </c>
      <c r="H70" s="135"/>
      <c r="I70" s="97"/>
      <c r="K70" s="109" t="s">
        <v>132</v>
      </c>
      <c r="L70" s="163">
        <f>C77</f>
        <v>88.5</v>
      </c>
      <c r="M70" s="110">
        <f>D77</f>
        <v>2685000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145</v>
      </c>
      <c r="M71" s="112">
        <f>D78+D79</f>
        <v>1733000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50</v>
      </c>
      <c r="M72" s="114">
        <f>L72*20000</f>
        <v>1000000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52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88.5</v>
      </c>
      <c r="D77" s="344">
        <f>SUM(D67:E76)</f>
        <v>2685000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44</v>
      </c>
      <c r="D78" s="346">
        <v>517000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101</v>
      </c>
      <c r="D79" s="348">
        <v>1216000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dimension ref="A1:M80"/>
  <sheetViews>
    <sheetView topLeftCell="A63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5</v>
      </c>
      <c r="E8" s="34">
        <f>SUM(E9:E12)</f>
        <v>6</v>
      </c>
      <c r="F8" s="34">
        <f>F9</f>
        <v>24</v>
      </c>
      <c r="G8" s="34">
        <f>G10+G11+G12</f>
        <v>144</v>
      </c>
      <c r="H8" s="35">
        <f>SUM(H9:H12)</f>
        <v>168</v>
      </c>
      <c r="I8" s="35">
        <f>SUM(I9:I12)</f>
        <v>175</v>
      </c>
      <c r="J8" s="35">
        <f>SUM(J9:J12)</f>
        <v>587200</v>
      </c>
      <c r="K8" s="35">
        <f>SUM(K9:K12)</f>
        <v>217600</v>
      </c>
      <c r="L8" s="34">
        <f>L9+L10+L11+L12</f>
        <v>0</v>
      </c>
      <c r="M8" s="35">
        <f>SUM(M9:M12)</f>
        <v>804800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4</v>
      </c>
      <c r="E10" s="235">
        <f>D10</f>
        <v>4</v>
      </c>
      <c r="F10" s="235"/>
      <c r="G10" s="235">
        <v>112</v>
      </c>
      <c r="H10" s="30">
        <f>G10</f>
        <v>112</v>
      </c>
      <c r="I10" s="30">
        <f>H10+E10</f>
        <v>116</v>
      </c>
      <c r="J10" s="30">
        <f>3200*I10</f>
        <v>371200</v>
      </c>
      <c r="K10" s="30">
        <f t="shared" ref="K10:K19" si="0">1600*H10</f>
        <v>179200</v>
      </c>
      <c r="L10" s="46"/>
      <c r="M10" s="43">
        <f>J10+K10</f>
        <v>550400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25</v>
      </c>
      <c r="D13" s="37">
        <f>D15+D16+D17+D18+D19</f>
        <v>31</v>
      </c>
      <c r="E13" s="37">
        <f>SUM(E14:E19)</f>
        <v>56</v>
      </c>
      <c r="F13" s="37">
        <f>F14</f>
        <v>375</v>
      </c>
      <c r="G13" s="37">
        <f>G15+G16+G17+G18+G19</f>
        <v>465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7">
        <f>L14+L15+L16+L17+L18+L19</f>
        <v>0</v>
      </c>
      <c r="M13" s="38">
        <f>SUM(M14:M19)</f>
        <v>4211200</v>
      </c>
    </row>
    <row r="14" spans="1:13">
      <c r="A14" s="12"/>
      <c r="B14" s="1" t="s">
        <v>3</v>
      </c>
      <c r="C14" s="235">
        <v>25</v>
      </c>
      <c r="D14" s="235"/>
      <c r="E14" s="235">
        <f>C14</f>
        <v>25</v>
      </c>
      <c r="F14" s="235">
        <f>C14*15</f>
        <v>375</v>
      </c>
      <c r="G14" s="235"/>
      <c r="H14" s="30">
        <f>F14</f>
        <v>375</v>
      </c>
      <c r="I14" s="30">
        <f t="shared" ref="I14:I19" si="1">H14+E14</f>
        <v>400</v>
      </c>
      <c r="J14" s="30">
        <f t="shared" ref="J14:J19" si="2">3200*I14</f>
        <v>1280000</v>
      </c>
      <c r="K14" s="30">
        <f t="shared" si="0"/>
        <v>600000</v>
      </c>
      <c r="L14" s="46"/>
      <c r="M14" s="43">
        <f t="shared" ref="M14:M19" si="3">J14+K14</f>
        <v>1880000</v>
      </c>
    </row>
    <row r="15" spans="1:13">
      <c r="A15" s="12"/>
      <c r="B15" s="1" t="s">
        <v>6</v>
      </c>
      <c r="C15" s="235"/>
      <c r="D15" s="235">
        <v>12</v>
      </c>
      <c r="E15" s="235">
        <f>D15</f>
        <v>12</v>
      </c>
      <c r="F15" s="235"/>
      <c r="G15" s="235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35"/>
      <c r="D16" s="235">
        <v>16</v>
      </c>
      <c r="E16" s="235">
        <f>D16</f>
        <v>16</v>
      </c>
      <c r="F16" s="235"/>
      <c r="G16" s="235">
        <f>D16*15</f>
        <v>240</v>
      </c>
      <c r="H16" s="30">
        <f>G16</f>
        <v>240</v>
      </c>
      <c r="I16" s="30">
        <f t="shared" si="1"/>
        <v>256</v>
      </c>
      <c r="J16" s="30">
        <f t="shared" si="2"/>
        <v>819200</v>
      </c>
      <c r="K16" s="30">
        <f t="shared" si="0"/>
        <v>384000</v>
      </c>
      <c r="L16" s="46"/>
      <c r="M16" s="43">
        <f t="shared" si="3"/>
        <v>1203200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85</v>
      </c>
      <c r="E20" s="37">
        <f>E21</f>
        <v>85</v>
      </c>
      <c r="F20" s="37"/>
      <c r="G20" s="37">
        <f t="shared" ref="G20:M20" si="4">G21</f>
        <v>1275</v>
      </c>
      <c r="H20" s="37">
        <f t="shared" si="4"/>
        <v>1275</v>
      </c>
      <c r="I20" s="37">
        <f t="shared" si="4"/>
        <v>1360</v>
      </c>
      <c r="J20" s="37">
        <f t="shared" si="4"/>
        <v>4352000</v>
      </c>
      <c r="K20" s="37">
        <f t="shared" si="4"/>
        <v>0</v>
      </c>
      <c r="L20" s="47">
        <f t="shared" si="4"/>
        <v>0</v>
      </c>
      <c r="M20" s="38">
        <f t="shared" si="4"/>
        <v>4352000</v>
      </c>
    </row>
    <row r="21" spans="1:13">
      <c r="A21" s="10"/>
      <c r="B21" s="24" t="s">
        <v>19</v>
      </c>
      <c r="C21" s="235"/>
      <c r="D21" s="235">
        <v>85</v>
      </c>
      <c r="E21" s="235">
        <f>D21</f>
        <v>85</v>
      </c>
      <c r="F21" s="235"/>
      <c r="G21" s="235">
        <f>E21*15</f>
        <v>1275</v>
      </c>
      <c r="H21" s="30">
        <f>G20</f>
        <v>1275</v>
      </c>
      <c r="I21" s="30">
        <f>H21+E21</f>
        <v>1360</v>
      </c>
      <c r="J21" s="30">
        <f>3200*I21</f>
        <v>4352000</v>
      </c>
      <c r="K21" s="30"/>
      <c r="L21" s="46"/>
      <c r="M21" s="43">
        <f>J21+K21</f>
        <v>4352000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1</v>
      </c>
      <c r="D28" s="37">
        <f>D30</f>
        <v>4</v>
      </c>
      <c r="E28" s="37">
        <f>E29+E30</f>
        <v>5</v>
      </c>
      <c r="F28" s="37">
        <f>F29</f>
        <v>28</v>
      </c>
      <c r="G28" s="37">
        <f>G30</f>
        <v>95</v>
      </c>
      <c r="H28" s="38">
        <f t="shared" ref="H28:M28" si="8">H29+H30</f>
        <v>123</v>
      </c>
      <c r="I28" s="38">
        <f t="shared" si="8"/>
        <v>128</v>
      </c>
      <c r="J28" s="38">
        <f t="shared" si="8"/>
        <v>409600</v>
      </c>
      <c r="K28" s="38">
        <f t="shared" si="8"/>
        <v>196800</v>
      </c>
      <c r="L28" s="48">
        <f t="shared" si="8"/>
        <v>0</v>
      </c>
      <c r="M28" s="216">
        <f t="shared" si="8"/>
        <v>649600</v>
      </c>
    </row>
    <row r="29" spans="1:13">
      <c r="A29" s="12"/>
      <c r="B29" s="1" t="s">
        <v>3</v>
      </c>
      <c r="C29" s="235">
        <v>1</v>
      </c>
      <c r="D29" s="235"/>
      <c r="E29" s="235">
        <f>C29</f>
        <v>1</v>
      </c>
      <c r="F29" s="235">
        <v>28</v>
      </c>
      <c r="G29" s="235"/>
      <c r="H29" s="30">
        <f>F29</f>
        <v>28</v>
      </c>
      <c r="I29" s="30">
        <f>H29+E29</f>
        <v>29</v>
      </c>
      <c r="J29" s="30">
        <f>3200*I29</f>
        <v>92800</v>
      </c>
      <c r="K29" s="30">
        <f>1600*H29</f>
        <v>44800</v>
      </c>
      <c r="L29" s="46"/>
      <c r="M29" s="43">
        <f>J29+K29</f>
        <v>137600</v>
      </c>
    </row>
    <row r="30" spans="1:13">
      <c r="A30" s="12"/>
      <c r="B30" s="1" t="s">
        <v>11</v>
      </c>
      <c r="C30" s="235"/>
      <c r="D30" s="235">
        <v>4</v>
      </c>
      <c r="E30" s="235">
        <f>D30</f>
        <v>4</v>
      </c>
      <c r="F30" s="235"/>
      <c r="G30" s="30">
        <v>95</v>
      </c>
      <c r="H30" s="30">
        <f>G30</f>
        <v>95</v>
      </c>
      <c r="I30" s="30">
        <f>H30+E30</f>
        <v>99</v>
      </c>
      <c r="J30" s="30">
        <f>3200*I30</f>
        <v>316800</v>
      </c>
      <c r="K30" s="30">
        <f>1600*H30</f>
        <v>152000</v>
      </c>
      <c r="L30" s="46"/>
      <c r="M30" s="43">
        <f>J30+K30+M62</f>
        <v>512000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26</v>
      </c>
      <c r="E31" s="37">
        <f t="shared" si="9"/>
        <v>26</v>
      </c>
      <c r="F31" s="37">
        <f t="shared" si="9"/>
        <v>0</v>
      </c>
      <c r="G31" s="37">
        <f t="shared" si="9"/>
        <v>390</v>
      </c>
      <c r="H31" s="37">
        <f t="shared" si="9"/>
        <v>390</v>
      </c>
      <c r="I31" s="37">
        <f t="shared" si="9"/>
        <v>416</v>
      </c>
      <c r="J31" s="37">
        <f t="shared" si="9"/>
        <v>1331200</v>
      </c>
      <c r="K31" s="37">
        <f t="shared" si="9"/>
        <v>0</v>
      </c>
      <c r="L31" s="37">
        <f t="shared" si="9"/>
        <v>0</v>
      </c>
      <c r="M31" s="38">
        <f t="shared" si="9"/>
        <v>1331200</v>
      </c>
    </row>
    <row r="32" spans="1:13">
      <c r="A32" s="10"/>
      <c r="B32" s="24" t="s">
        <v>19</v>
      </c>
      <c r="C32" s="235"/>
      <c r="D32" s="235">
        <v>26</v>
      </c>
      <c r="E32" s="235">
        <f>D32</f>
        <v>26</v>
      </c>
      <c r="F32" s="235"/>
      <c r="G32" s="235">
        <f>E32*15</f>
        <v>390</v>
      </c>
      <c r="H32" s="30">
        <f>G32</f>
        <v>390</v>
      </c>
      <c r="I32" s="30">
        <f>H32+E32</f>
        <v>416</v>
      </c>
      <c r="J32" s="30">
        <f>3200*I32</f>
        <v>1331200</v>
      </c>
      <c r="K32" s="30"/>
      <c r="L32" s="46"/>
      <c r="M32" s="43">
        <f>J32+K32</f>
        <v>1331200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11</v>
      </c>
      <c r="E33" s="37">
        <f>E34+E35+E36</f>
        <v>17</v>
      </c>
      <c r="F33" s="37">
        <f>F34</f>
        <v>160</v>
      </c>
      <c r="G33" s="37">
        <f>G35+G36</f>
        <v>303</v>
      </c>
      <c r="H33" s="38">
        <f t="shared" ref="H33:M33" si="10">H34+H35+H36</f>
        <v>463</v>
      </c>
      <c r="I33" s="38">
        <f t="shared" si="10"/>
        <v>481</v>
      </c>
      <c r="J33" s="35">
        <f t="shared" si="10"/>
        <v>1587200</v>
      </c>
      <c r="K33" s="35">
        <f t="shared" si="10"/>
        <v>649600</v>
      </c>
      <c r="L33" s="47">
        <f t="shared" si="10"/>
        <v>0</v>
      </c>
      <c r="M33" s="216">
        <f t="shared" si="10"/>
        <v>2236800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160</v>
      </c>
      <c r="G34" s="235"/>
      <c r="H34" s="30">
        <f>F34</f>
        <v>160</v>
      </c>
      <c r="I34" s="30">
        <f>H34+E34</f>
        <v>166</v>
      </c>
      <c r="J34" s="30">
        <f>3200*I34</f>
        <v>531200</v>
      </c>
      <c r="K34" s="30">
        <f>1600*H34</f>
        <v>256000</v>
      </c>
      <c r="L34" s="46"/>
      <c r="M34" s="43">
        <f>J34+K34</f>
        <v>787200</v>
      </c>
    </row>
    <row r="35" spans="1:13">
      <c r="A35" s="13"/>
      <c r="B35" s="1" t="s">
        <v>12</v>
      </c>
      <c r="C35" s="235"/>
      <c r="D35" s="235">
        <v>9</v>
      </c>
      <c r="E35" s="235">
        <f>D35</f>
        <v>9</v>
      </c>
      <c r="F35" s="235"/>
      <c r="G35" s="235">
        <v>246</v>
      </c>
      <c r="H35" s="30">
        <f>G35</f>
        <v>246</v>
      </c>
      <c r="I35" s="30">
        <f>H35+E35</f>
        <v>255</v>
      </c>
      <c r="J35" s="30">
        <f>3200*I35</f>
        <v>816000</v>
      </c>
      <c r="K35" s="30">
        <f>1600*H35</f>
        <v>393600</v>
      </c>
      <c r="L35" s="46"/>
      <c r="M35" s="43">
        <f>J35+K35+M63</f>
        <v>1209600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57</v>
      </c>
      <c r="H36" s="30">
        <f>G36</f>
        <v>57</v>
      </c>
      <c r="I36" s="30">
        <v>60</v>
      </c>
      <c r="J36" s="30">
        <f>4000*I36</f>
        <v>240000</v>
      </c>
      <c r="K36" s="30"/>
      <c r="L36" s="46"/>
      <c r="M36" s="43">
        <f>J36+K36</f>
        <v>240000</v>
      </c>
    </row>
    <row r="37" spans="1:13">
      <c r="A37" s="36">
        <v>10</v>
      </c>
      <c r="B37" s="33" t="s">
        <v>28</v>
      </c>
      <c r="C37" s="37"/>
      <c r="D37" s="37">
        <f>D38</f>
        <v>23</v>
      </c>
      <c r="E37" s="37">
        <f>E38</f>
        <v>23</v>
      </c>
      <c r="F37" s="37"/>
      <c r="G37" s="37">
        <f t="shared" ref="G37:M37" si="11">G38</f>
        <v>345</v>
      </c>
      <c r="H37" s="38">
        <f t="shared" si="11"/>
        <v>345</v>
      </c>
      <c r="I37" s="38">
        <f t="shared" si="11"/>
        <v>368</v>
      </c>
      <c r="J37" s="38">
        <f t="shared" si="11"/>
        <v>1472000</v>
      </c>
      <c r="K37" s="38">
        <f t="shared" si="11"/>
        <v>0</v>
      </c>
      <c r="L37" s="48">
        <f t="shared" si="11"/>
        <v>0</v>
      </c>
      <c r="M37" s="216">
        <f t="shared" si="11"/>
        <v>1472000</v>
      </c>
    </row>
    <row r="38" spans="1:13">
      <c r="A38" s="13"/>
      <c r="B38" s="96" t="s">
        <v>128</v>
      </c>
      <c r="C38" s="235"/>
      <c r="D38" s="235">
        <v>23</v>
      </c>
      <c r="E38" s="235">
        <f>D38</f>
        <v>23</v>
      </c>
      <c r="F38" s="235"/>
      <c r="G38" s="235">
        <f>E38*15</f>
        <v>345</v>
      </c>
      <c r="H38" s="30">
        <f>G38</f>
        <v>345</v>
      </c>
      <c r="I38" s="30">
        <f>H38+E38</f>
        <v>368</v>
      </c>
      <c r="J38" s="30">
        <f>4000*I38</f>
        <v>1472000</v>
      </c>
      <c r="K38" s="30"/>
      <c r="L38" s="46"/>
      <c r="M38" s="43">
        <f>J38+K38</f>
        <v>1472000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88</v>
      </c>
      <c r="H49" s="37">
        <f t="shared" si="16"/>
        <v>88</v>
      </c>
      <c r="I49" s="37">
        <f t="shared" si="16"/>
        <v>93</v>
      </c>
      <c r="J49" s="37">
        <f t="shared" si="16"/>
        <v>359200</v>
      </c>
      <c r="K49" s="37">
        <f t="shared" si="16"/>
        <v>24000</v>
      </c>
      <c r="L49" s="37">
        <f t="shared" si="16"/>
        <v>0</v>
      </c>
      <c r="M49" s="219">
        <f t="shared" si="16"/>
        <v>383200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1</v>
      </c>
      <c r="E54" s="37">
        <f>E55</f>
        <v>1</v>
      </c>
      <c r="F54" s="37">
        <f>F55</f>
        <v>0</v>
      </c>
      <c r="G54" s="37">
        <f>G55</f>
        <v>44</v>
      </c>
      <c r="H54" s="38">
        <f t="shared" si="17"/>
        <v>44</v>
      </c>
      <c r="I54" s="38">
        <f t="shared" si="17"/>
        <v>46</v>
      </c>
      <c r="J54" s="38">
        <f t="shared" si="17"/>
        <v>299000</v>
      </c>
      <c r="K54" s="38">
        <f t="shared" si="17"/>
        <v>140800</v>
      </c>
      <c r="L54" s="48">
        <f t="shared" si="17"/>
        <v>0</v>
      </c>
      <c r="M54" s="44">
        <f t="shared" si="17"/>
        <v>439800</v>
      </c>
    </row>
    <row r="55" spans="1:13">
      <c r="A55" s="14"/>
      <c r="B55" s="2" t="s">
        <v>210</v>
      </c>
      <c r="C55" s="29"/>
      <c r="D55" s="29">
        <v>1</v>
      </c>
      <c r="E55" s="29">
        <f>D55</f>
        <v>1</v>
      </c>
      <c r="F55" s="29"/>
      <c r="G55" s="29">
        <f>E55*44</f>
        <v>44</v>
      </c>
      <c r="H55" s="31">
        <f>G55</f>
        <v>44</v>
      </c>
      <c r="I55" s="31">
        <f>H55+E55*2</f>
        <v>46</v>
      </c>
      <c r="J55" s="30">
        <f>6500*I55</f>
        <v>299000</v>
      </c>
      <c r="K55" s="30">
        <f>3200*H55</f>
        <v>140800</v>
      </c>
      <c r="L55" s="49"/>
      <c r="M55" s="43">
        <f>J55+K55</f>
        <v>439800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0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1</v>
      </c>
      <c r="D60" s="209">
        <f t="shared" si="19"/>
        <v>0</v>
      </c>
      <c r="E60" s="209">
        <f t="shared" si="19"/>
        <v>1</v>
      </c>
      <c r="F60" s="209">
        <f t="shared" si="19"/>
        <v>39</v>
      </c>
      <c r="G60" s="209">
        <f t="shared" si="19"/>
        <v>0</v>
      </c>
      <c r="H60" s="210">
        <f t="shared" si="19"/>
        <v>39</v>
      </c>
      <c r="I60" s="210">
        <f t="shared" si="19"/>
        <v>41</v>
      </c>
      <c r="J60" s="210">
        <f t="shared" si="19"/>
        <v>266500</v>
      </c>
      <c r="K60" s="210">
        <f t="shared" si="19"/>
        <v>124800</v>
      </c>
      <c r="L60" s="209"/>
      <c r="M60" s="218">
        <f>M61</f>
        <v>391300</v>
      </c>
    </row>
    <row r="61" spans="1:13">
      <c r="A61" s="14"/>
      <c r="B61" s="205" t="s">
        <v>213</v>
      </c>
      <c r="C61" s="207">
        <v>1</v>
      </c>
      <c r="D61" s="207"/>
      <c r="E61" s="207">
        <f>C61</f>
        <v>1</v>
      </c>
      <c r="F61" s="207">
        <v>39</v>
      </c>
      <c r="G61" s="207"/>
      <c r="H61" s="208">
        <f>F61</f>
        <v>39</v>
      </c>
      <c r="I61" s="208">
        <f>H61+E61*2</f>
        <v>41</v>
      </c>
      <c r="J61" s="30">
        <f>6500*I61</f>
        <v>266500</v>
      </c>
      <c r="K61" s="30">
        <f>3200*H61</f>
        <v>124800</v>
      </c>
      <c r="L61" s="49"/>
      <c r="M61" s="43">
        <f>J61+K61</f>
        <v>391300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34</v>
      </c>
      <c r="D64" s="42">
        <f>D8+D13+D20+D22+D24+D26+D28+D31+D33+D37+D39+D44+D47+D49+D52+D54+D56+D58</f>
        <v>199</v>
      </c>
      <c r="E64" s="42">
        <f>E8+E13+E20+E22+E24+E26+E28+E31+E33+E37+E39+E44+E47+E49+E52+E54+E56+E58+E60</f>
        <v>233</v>
      </c>
      <c r="F64" s="42">
        <f>F8+F13+F28+F33+F60</f>
        <v>626</v>
      </c>
      <c r="G64" s="42">
        <f>G8+G13+G20+G22+G24+G26+G28+G31+G33+G37+G39+G44+G47+G49+G52+G54+G56+G58</f>
        <v>3429</v>
      </c>
      <c r="H64" s="42">
        <f>H8+H13+H20+H22+H24+H26+H28+H31+H33+H37+H39+H44+H47+H49+H52+H54+H56+H58+H60</f>
        <v>4055</v>
      </c>
      <c r="I64" s="42">
        <f>I8+I13+I20+I22+I24+I26+I28+I31+I33+I37+I39+I44+I47+I49+I52+I54+I56+I58+I60</f>
        <v>4297</v>
      </c>
      <c r="J64" s="42">
        <f>J8+J13+J20+J22+J24+J26+J28+J31+J33+J37+J39+J44+J47+J49+J52+J54+J56+J58</f>
        <v>14536060</v>
      </c>
      <c r="K64" s="42">
        <f>K8+K13+K20+K22+K24+K26+K28+K31+K33+K37+K39+K44+K47+K49+K52+K54+K56+K58</f>
        <v>3073200</v>
      </c>
      <c r="L64" s="50"/>
      <c r="M64" s="42">
        <f>M8+M13+M20+M22+M24+M26+M28+M31+M33+M37+M39+M44+M47+M49+M52+M54+M56+M58+M60+M65+M66</f>
        <v>18093760</v>
      </c>
    </row>
    <row r="65" spans="2:13" ht="14.25" thickTop="1" thickBot="1">
      <c r="D65" s="337"/>
      <c r="E65" s="337"/>
      <c r="J65" s="115"/>
      <c r="K65" s="149" t="s">
        <v>96</v>
      </c>
      <c r="L65" s="147">
        <v>1</v>
      </c>
      <c r="M65" s="149">
        <f>20000*L65</f>
        <v>20000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>
        <v>0</v>
      </c>
      <c r="G67" s="145">
        <v>14</v>
      </c>
      <c r="H67" s="119"/>
      <c r="K67" s="97" t="s">
        <v>32</v>
      </c>
      <c r="L67" s="234">
        <f>L65+L66</f>
        <v>3</v>
      </c>
    </row>
    <row r="68" spans="2:13" ht="13.5" thickBot="1">
      <c r="B68" s="120" t="s">
        <v>75</v>
      </c>
      <c r="C68" s="131">
        <f t="shared" ref="C68:C74" si="20">F68+G68</f>
        <v>15</v>
      </c>
      <c r="D68" s="342">
        <f>C68*30000</f>
        <v>450000</v>
      </c>
      <c r="E68" s="343"/>
      <c r="F68" s="122">
        <v>10</v>
      </c>
      <c r="G68" s="139">
        <v>5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18</v>
      </c>
      <c r="D69" s="329">
        <f>C69*35000</f>
        <v>630000</v>
      </c>
      <c r="E69" s="330"/>
      <c r="F69" s="121">
        <v>4</v>
      </c>
      <c r="G69" s="138">
        <v>14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18</v>
      </c>
      <c r="D70" s="329">
        <f>C70*20000</f>
        <v>360000</v>
      </c>
      <c r="E70" s="330"/>
      <c r="F70" s="121">
        <v>11</v>
      </c>
      <c r="G70" s="138">
        <v>7</v>
      </c>
      <c r="H70" s="135"/>
      <c r="I70" s="97"/>
      <c r="K70" s="109" t="s">
        <v>132</v>
      </c>
      <c r="L70" s="163">
        <f>C77</f>
        <v>56</v>
      </c>
      <c r="M70" s="110">
        <f>D77</f>
        <v>1790000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109</v>
      </c>
      <c r="M71" s="112">
        <f>D78+D79</f>
        <v>1292000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47</v>
      </c>
      <c r="M72" s="114">
        <f>L72*20000</f>
        <v>940000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50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56</v>
      </c>
      <c r="D77" s="344">
        <f>SUM(D67:E76)</f>
        <v>1790000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34</v>
      </c>
      <c r="D78" s="346">
        <v>385000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75</v>
      </c>
      <c r="D79" s="348">
        <v>907000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4"/>
  <sheetViews>
    <sheetView topLeftCell="A10" workbookViewId="0">
      <selection activeCell="G46" sqref="G46"/>
    </sheetView>
  </sheetViews>
  <sheetFormatPr defaultRowHeight="12.75"/>
  <cols>
    <col min="1" max="1" width="4.7109375" customWidth="1"/>
    <col min="2" max="2" width="27.7109375" customWidth="1"/>
    <col min="3" max="4" width="9.7109375" customWidth="1"/>
    <col min="5" max="5" width="14.42578125" bestFit="1" customWidth="1"/>
    <col min="6" max="6" width="10.7109375" customWidth="1"/>
    <col min="7" max="8" width="15.7109375" customWidth="1"/>
    <col min="9" max="9" width="23.28515625" customWidth="1"/>
    <col min="10" max="10" width="11.140625" bestFit="1" customWidth="1"/>
    <col min="12" max="12" width="10" bestFit="1" customWidth="1"/>
  </cols>
  <sheetData>
    <row r="1" spans="1:11">
      <c r="A1" s="298" t="s">
        <v>68</v>
      </c>
      <c r="B1" s="298"/>
      <c r="C1" s="298"/>
      <c r="D1" s="298"/>
      <c r="E1" s="299" t="s">
        <v>67</v>
      </c>
      <c r="F1" s="299"/>
      <c r="G1" s="299"/>
      <c r="H1" s="299"/>
      <c r="I1" s="299"/>
    </row>
    <row r="2" spans="1:11">
      <c r="A2" s="298" t="s">
        <v>70</v>
      </c>
      <c r="B2" s="298"/>
      <c r="C2" s="298"/>
      <c r="D2" s="298"/>
      <c r="E2" s="300" t="s">
        <v>69</v>
      </c>
      <c r="F2" s="300"/>
      <c r="G2" s="300"/>
      <c r="H2" s="300"/>
      <c r="I2" s="300"/>
    </row>
    <row r="3" spans="1:11" ht="22.5" customHeight="1">
      <c r="A3" s="303" t="s">
        <v>238</v>
      </c>
      <c r="B3" s="303"/>
      <c r="C3" s="303"/>
      <c r="D3" s="303"/>
      <c r="E3" s="303"/>
      <c r="F3" s="303"/>
      <c r="G3" s="303"/>
      <c r="H3" s="303"/>
      <c r="I3" s="303"/>
    </row>
    <row r="4" spans="1:11" ht="15" customHeight="1" thickBot="1">
      <c r="A4" s="304" t="s">
        <v>91</v>
      </c>
      <c r="B4" s="304"/>
      <c r="C4" s="304"/>
      <c r="D4" s="304"/>
      <c r="E4" s="304"/>
      <c r="F4" s="304"/>
      <c r="G4" s="304"/>
      <c r="H4" s="304"/>
      <c r="I4" s="304"/>
    </row>
    <row r="5" spans="1:11" ht="13.5" thickTop="1">
      <c r="A5" s="305" t="s">
        <v>47</v>
      </c>
      <c r="B5" s="307" t="s">
        <v>48</v>
      </c>
      <c r="C5" s="309" t="s">
        <v>49</v>
      </c>
      <c r="D5" s="310"/>
      <c r="E5" s="310"/>
      <c r="F5" s="309" t="s">
        <v>50</v>
      </c>
      <c r="G5" s="310"/>
      <c r="H5" s="310"/>
      <c r="I5" s="311" t="s">
        <v>51</v>
      </c>
    </row>
    <row r="6" spans="1:11">
      <c r="A6" s="306"/>
      <c r="B6" s="308"/>
      <c r="C6" s="59" t="s">
        <v>52</v>
      </c>
      <c r="D6" s="59" t="s">
        <v>53</v>
      </c>
      <c r="E6" s="59" t="s">
        <v>54</v>
      </c>
      <c r="F6" s="59" t="s">
        <v>52</v>
      </c>
      <c r="G6" s="59" t="s">
        <v>53</v>
      </c>
      <c r="H6" s="59" t="s">
        <v>54</v>
      </c>
      <c r="I6" s="312"/>
    </row>
    <row r="7" spans="1:11" ht="12" customHeight="1">
      <c r="A7" s="61">
        <v>1</v>
      </c>
      <c r="B7" s="65" t="s">
        <v>80</v>
      </c>
      <c r="C7" s="62">
        <f>'01'!C8+'02'!C8+'03'!C8+'04'!C8+'05'!C8+'06'!C8+'07'!C8+'08'!C8+'09'!C8+'10'!C8+'11'!C8+'12'!C8+'13'!C8+'14'!C8+'15'!C8+'16'!C8+'17'!C8+'18'!C8+'19'!C8+'20'!C8+'21'!C8+'22'!C8+'23'!C8+'24'!C8+'25'!C8+'26'!C8+'27'!C8+'28'!C8+'29'!C8+'30'!C8+'31'!C8</f>
        <v>34</v>
      </c>
      <c r="D7" s="62">
        <f>'01'!D8+'02'!D8+'03'!D8+'04'!D8+'05'!D8+'06'!D8+'07'!D8+'08'!D8+'09'!D8+'10'!D8+'11'!D8+'12'!D8+'13'!D8+'14'!D8+'15'!D8+'16'!D8+'17'!D8+'18'!D8+'19'!D8+'20'!D8+'21'!D8+'22'!D8+'23'!D8+'24'!D8+'25'!D8+'26'!D8+'27'!D8+'28'!D8+'29'!D8+'30'!D8+'31'!D8</f>
        <v>158</v>
      </c>
      <c r="E7" s="62">
        <f t="shared" ref="E7:E22" si="0">C7+D7</f>
        <v>192</v>
      </c>
      <c r="F7" s="62">
        <f>'01'!F8+'02'!F8+'03'!F8+'04'!F8+'05'!F8+'06'!F8+'07'!F8+'08'!F8+'09'!F8+'10'!F8+'11'!F8+'12'!F8+'13'!F8+'14'!F8+'15'!F8+'16'!F8+'17'!F8+'18'!F8+'19'!F8+'20'!F8+'21'!F8+'22'!F8+'23'!F8+'24'!F8+'25'!F8+'26'!F8+'27'!F8+'28'!F8+'29'!F8+'30'!F8+'31'!F8</f>
        <v>814</v>
      </c>
      <c r="G7" s="62">
        <f>'01'!G8+'02'!G8+'03'!G8+'04'!G8+'05'!G8+'06'!G8+'07'!G8+'08'!G8+'09'!G8+'10'!G8+'11'!G8+'12'!G8+'13'!G8+'14'!G8+'15'!G8+'16'!G8+'17'!G8+'18'!G8+'19'!G8+'20'!G8+'21'!G8+'22'!G8+'23'!G8+'24'!G8+'25'!G8+'26'!G8+'27'!G8+'28'!G8+'29'!G8+'30'!G8+'31'!G8</f>
        <v>4468</v>
      </c>
      <c r="H7" s="62">
        <f>F7+G7</f>
        <v>5282</v>
      </c>
      <c r="I7" s="74">
        <f>'01'!M8+'02'!M8+'03'!M8+'04'!M8+'05'!M8+'06'!M8+'07'!M8+'08'!M8+'09'!M8+'10'!M8+'11'!M8+'12'!M8+'13'!M8+'14'!M8+'15'!M8+'16'!M8+'17'!M8+'18'!M8+'19'!M8+'20'!M8+'21'!M8+'22'!M8+'23'!M8+'24'!M8+'25'!M8+'26'!M8+'27'!M8+'28'!M8+'29'!M8+'30'!M8+'31'!M8</f>
        <v>25315200</v>
      </c>
      <c r="J7" s="32"/>
      <c r="K7" s="74"/>
    </row>
    <row r="8" spans="1:11" ht="12" customHeight="1">
      <c r="A8" s="61">
        <f>A7+1</f>
        <v>2</v>
      </c>
      <c r="B8" s="65" t="s">
        <v>81</v>
      </c>
      <c r="C8" s="62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824</v>
      </c>
      <c r="D8" s="62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973</v>
      </c>
      <c r="E8" s="62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1797</v>
      </c>
      <c r="F8" s="62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12360</v>
      </c>
      <c r="G8" s="62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14595</v>
      </c>
      <c r="H8" s="62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26955</v>
      </c>
      <c r="I8" s="74">
        <f>'01'!M13+'02'!M13+'03'!M13+'04'!M13+'05'!M13+'06'!M13+'07'!M13+'08'!M13+'09'!M13+'10'!M13+'11'!M13+'12'!M13+'13'!M13+'14'!M13+'15'!M13+'16'!M13+'17'!M13+'18'!M13+'19'!M13+'20'!M13+'21'!M13+'22'!M13+'23'!M13+'24'!M13+'25'!M13+'26'!M13+'27'!M13+'28'!M13+'29'!M13+'30'!M13+'31'!M13</f>
        <v>135134400</v>
      </c>
      <c r="J8" s="32"/>
    </row>
    <row r="9" spans="1:11" ht="12" customHeight="1">
      <c r="A9" s="61">
        <f t="shared" ref="A9:A24" si="1">A8+1</f>
        <v>3</v>
      </c>
      <c r="B9" s="65" t="s">
        <v>82</v>
      </c>
      <c r="C9" s="62"/>
      <c r="D9" s="62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2905</v>
      </c>
      <c r="E9" s="62">
        <f t="shared" si="0"/>
        <v>2905</v>
      </c>
      <c r="F9" s="62"/>
      <c r="G9" s="62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48688</v>
      </c>
      <c r="H9" s="62">
        <f t="shared" ref="H9:H25" si="2">F9+G9</f>
        <v>48688</v>
      </c>
      <c r="I9" s="74">
        <f>'01'!M20+'02'!M20+'03'!M20+'04'!M20+'05'!M20+'06'!M20+'07'!M20+'08'!M20+'09'!M20+'10'!M20+'11'!M20+'12'!M20+'13'!M20+'14'!M20+'15'!M20+'16'!M20+'17'!M20+'18'!M20+'19'!M20+'20'!M20+'21'!M20+'22'!M20+'23'!M20+'24'!M20+'25'!M20+'26'!M20+'27'!M20+'28'!M20+'29'!M20+'30'!M20+'31'!M20</f>
        <v>165686400</v>
      </c>
      <c r="J9" s="32"/>
    </row>
    <row r="10" spans="1:11" ht="12" customHeight="1">
      <c r="A10" s="61">
        <f t="shared" si="1"/>
        <v>4</v>
      </c>
      <c r="B10" s="65" t="s">
        <v>83</v>
      </c>
      <c r="C10" s="62"/>
      <c r="D10" s="62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28</v>
      </c>
      <c r="E10" s="62">
        <f t="shared" si="0"/>
        <v>28</v>
      </c>
      <c r="F10" s="62"/>
      <c r="G10" s="62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888</v>
      </c>
      <c r="H10" s="62">
        <f t="shared" si="2"/>
        <v>888</v>
      </c>
      <c r="I10" s="74">
        <f>'01'!M22+'02'!M22+'03'!M22+'04'!M22+'05'!M22+'06'!M22+'07'!M22+'08'!M22+'09'!M22+'10'!M22+'11'!M22+'12'!M22+'13'!M22+'14'!M22+'15'!M22+'16'!M22+'17'!M22+'18'!M22+'19'!M22+'20'!M22+'21'!M22+'22'!M22+'23'!M22+'24'!M22+'25'!M22+'26'!M22+'27'!M22+'28'!M22+'29'!M22+'30'!M22+'31'!M22</f>
        <v>4435200</v>
      </c>
      <c r="J10" s="32"/>
      <c r="K10" s="32"/>
    </row>
    <row r="11" spans="1:11" ht="12" customHeight="1">
      <c r="A11" s="61">
        <f t="shared" si="1"/>
        <v>5</v>
      </c>
      <c r="B11" s="65" t="s">
        <v>84</v>
      </c>
      <c r="C11" s="62"/>
      <c r="D11" s="62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30</v>
      </c>
      <c r="E11" s="62">
        <f t="shared" si="0"/>
        <v>30</v>
      </c>
      <c r="F11" s="62"/>
      <c r="G11" s="62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802</v>
      </c>
      <c r="H11" s="62">
        <f t="shared" si="2"/>
        <v>802</v>
      </c>
      <c r="I11" s="74">
        <f>'01'!M24+'02'!M24+'03'!M24+'04'!M24+'05'!M24+'06'!M24+'07'!M24+'08'!M24+'09'!M24+'10'!M24+'11'!M24+'12'!M24+'13'!M24+'14'!M24+'15'!M24+'16'!M24+'17'!M24+'18'!M24+'19'!M24+'20'!M24+'21'!M24+'22'!M24+'23'!M24+'24'!M24+'25'!M24+'26'!M24+'27'!M24+'28'!M24+'29'!M24+'30'!M24+'31'!M24</f>
        <v>3945600</v>
      </c>
      <c r="J11" s="32"/>
    </row>
    <row r="12" spans="1:11" ht="12" customHeight="1">
      <c r="A12" s="61">
        <f t="shared" si="1"/>
        <v>6</v>
      </c>
      <c r="B12" s="65" t="s">
        <v>85</v>
      </c>
      <c r="C12" s="62"/>
      <c r="D12" s="62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29</v>
      </c>
      <c r="E12" s="62">
        <f t="shared" si="0"/>
        <v>29</v>
      </c>
      <c r="F12" s="62"/>
      <c r="G12" s="62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700</v>
      </c>
      <c r="H12" s="62">
        <f t="shared" si="2"/>
        <v>700</v>
      </c>
      <c r="I12" s="74">
        <f>'01'!M26+'02'!M26+'03'!M26+'04'!M26+'05'!M26+'06'!M26+'07'!M26+'08'!M26+'09'!M26+'10'!M26+'11'!M26+'12'!M26+'13'!M26+'14'!M26+'15'!M26+'16'!M26+'17'!M26+'18'!M26+'19'!M26+'20'!M26+'21'!M26+'22'!M26+'23'!M26+'24'!M26+'25'!M26+'26'!M26+'27'!M26+'28'!M26+'29'!M26+'30'!M26+'31'!M26</f>
        <v>3452800</v>
      </c>
      <c r="J12" s="32"/>
      <c r="K12" s="32"/>
    </row>
    <row r="13" spans="1:11" ht="12" customHeight="1">
      <c r="A13" s="61">
        <f t="shared" si="1"/>
        <v>7</v>
      </c>
      <c r="B13" s="65" t="s">
        <v>86</v>
      </c>
      <c r="C13" s="62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86</v>
      </c>
      <c r="D13" s="62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147</v>
      </c>
      <c r="E13" s="62">
        <f t="shared" si="0"/>
        <v>233</v>
      </c>
      <c r="F13" s="62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2132</v>
      </c>
      <c r="G13" s="62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3556</v>
      </c>
      <c r="H13" s="62">
        <f t="shared" si="2"/>
        <v>5688</v>
      </c>
      <c r="I13" s="74">
        <f>'01'!M28+'02'!M28+'03'!M28+'04'!M28+'05'!M28+'06'!M28+'07'!M28+'08'!M28+'09'!M28+'10'!M28+'11'!M28+'12'!M28+'13'!M28+'14'!M28+'15'!M28+'16'!M28+'17'!M28+'18'!M28+'19'!M28+'20'!M28+'21'!M28+'22'!M28+'23'!M28+'24'!M28+'25'!M28+'26'!M28+'27'!M28+'28'!M28+'29'!M28+'30'!M28+'31'!M28</f>
        <v>28566400</v>
      </c>
      <c r="J13" s="32"/>
    </row>
    <row r="14" spans="1:11" ht="12" customHeight="1">
      <c r="A14" s="61">
        <f t="shared" si="1"/>
        <v>8</v>
      </c>
      <c r="B14" s="65" t="s">
        <v>167</v>
      </c>
      <c r="C14" s="62"/>
      <c r="D14" s="62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780</v>
      </c>
      <c r="E14" s="62">
        <f t="shared" si="0"/>
        <v>780</v>
      </c>
      <c r="F14" s="62"/>
      <c r="G14" s="62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11700</v>
      </c>
      <c r="H14" s="62">
        <f t="shared" si="2"/>
        <v>11700</v>
      </c>
      <c r="I14" s="74">
        <f>'01'!M31+'02'!M31+'03'!M31+'04'!M31+'05'!M31+'06'!M31+'07'!M31+'08'!M31+'09'!M31+'10'!M31+'11'!M31+'12'!M31+'13'!M31+'14'!M31+'15'!M31+'16'!M31+'17'!M31+'18'!M31+'19'!M31+'20'!M31+'21'!M31+'22'!M31+'23'!M31+'24'!M31+'25'!M31+'26'!M31+'27'!M31+'28'!M31+'29'!M31+'30'!M31+'31'!M31</f>
        <v>39936000</v>
      </c>
      <c r="J14" s="32"/>
    </row>
    <row r="15" spans="1:11" ht="12" customHeight="1">
      <c r="A15" s="61">
        <f t="shared" si="1"/>
        <v>9</v>
      </c>
      <c r="B15" s="65" t="s">
        <v>87</v>
      </c>
      <c r="C15" s="62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196</v>
      </c>
      <c r="D15" s="62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294</v>
      </c>
      <c r="E15" s="62">
        <f t="shared" si="0"/>
        <v>490</v>
      </c>
      <c r="F15" s="62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5048</v>
      </c>
      <c r="G15" s="62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8007</v>
      </c>
      <c r="H15" s="62">
        <f t="shared" si="2"/>
        <v>13055</v>
      </c>
      <c r="I15" s="74">
        <f>'01'!M33+'02'!M33+'03'!M33+'04'!M33+'05'!M33+'06'!M33+'07'!M33+'08'!M33+'09'!M33+'10'!M33+'11'!M33+'12'!M33+'13'!M33+'14'!M33+'15'!M33+'16'!M33+'17'!M33+'18'!M33+'19'!M33+'20'!M33+'21'!M33+'22'!M33+'23'!M33+'24'!M33+'25'!M33+'26'!M33+'27'!M33+'28'!M33+'29'!M33+'30'!M33+'31'!M33</f>
        <v>63812800</v>
      </c>
      <c r="J15" s="32"/>
    </row>
    <row r="16" spans="1:11" ht="12" customHeight="1">
      <c r="A16" s="61">
        <f t="shared" si="1"/>
        <v>10</v>
      </c>
      <c r="B16" s="161" t="s">
        <v>88</v>
      </c>
      <c r="C16" s="62"/>
      <c r="D16" s="62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745</v>
      </c>
      <c r="E16" s="62">
        <f t="shared" si="0"/>
        <v>745</v>
      </c>
      <c r="F16" s="62"/>
      <c r="G16" s="62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11357</v>
      </c>
      <c r="H16" s="62">
        <f t="shared" si="2"/>
        <v>11357</v>
      </c>
      <c r="I16" s="74">
        <f>'01'!M37+'02'!M37+'03'!M37+'04'!M37+'05'!M37+'06'!M37+'07'!M37+'08'!M37+'09'!M37+'10'!M37+'11'!M37+'12'!M37+'13'!M37+'14'!M37+'15'!M37+'16'!M37+'17'!M37+'18'!M37+'19'!M37+'20'!M37+'21'!M37+'22'!M37+'23'!M37+'24'!M37+'25'!M37+'26'!M37+'27'!M37+'28'!M37+'29'!M37+'30'!M37+'31'!M37</f>
        <v>48408000</v>
      </c>
      <c r="J16" s="32"/>
    </row>
    <row r="17" spans="1:12" ht="12" customHeight="1">
      <c r="A17" s="61">
        <f t="shared" si="1"/>
        <v>11</v>
      </c>
      <c r="B17" s="65" t="s">
        <v>79</v>
      </c>
      <c r="C17" s="62"/>
      <c r="D17" s="62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31</v>
      </c>
      <c r="E17" s="62">
        <f t="shared" si="0"/>
        <v>31</v>
      </c>
      <c r="F17" s="62"/>
      <c r="G17" s="62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1316</v>
      </c>
      <c r="H17" s="62">
        <f t="shared" si="2"/>
        <v>1316</v>
      </c>
      <c r="I17" s="74">
        <f>'01'!M39+'02'!M39+'03'!M39+'04'!M39+'05'!M39+'06'!M39+'07'!M39+'08'!M39+'09'!M39+'10'!M39+'11'!M39+'12'!M39+'13'!M39+'14'!M39+'15'!M39+'16'!M39+'17'!M39+'18'!M39+'19'!M39+'20'!M39+'21'!M39+'22'!M39+'23'!M39+'24'!M39+'25'!M39+'26'!M39+'27'!M39+'28'!M39+'29'!M39+'30'!M39+'31'!M39</f>
        <v>8596600</v>
      </c>
      <c r="J17" s="32"/>
    </row>
    <row r="18" spans="1:12" ht="12" customHeight="1">
      <c r="A18" s="61">
        <f t="shared" si="1"/>
        <v>12</v>
      </c>
      <c r="B18" s="65" t="s">
        <v>158</v>
      </c>
      <c r="C18" s="62"/>
      <c r="D18" s="62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58</v>
      </c>
      <c r="E18" s="62">
        <f t="shared" si="0"/>
        <v>58</v>
      </c>
      <c r="F18" s="62"/>
      <c r="G18" s="62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2320</v>
      </c>
      <c r="H18" s="62">
        <f t="shared" si="2"/>
        <v>2320</v>
      </c>
      <c r="I18" s="74">
        <f>'01'!M44+'02'!M44+'03'!M44+'04'!M44+'05'!M44+'06'!M44+'07'!M44+'08'!M44+'09'!M44+'10'!M44+'11'!M44+'12'!M44+'13'!M44+'14'!M44+'15'!M44+'16'!M44+'17'!M44+'18'!M44+'19'!M44+'20'!M44+'21'!M44+'22'!M44+'23'!M44+'24'!M44+'25'!M44+'26'!M44+'27'!M44+'28'!M44+'29'!M44+'30'!M44+'31'!M44</f>
        <v>17097240</v>
      </c>
      <c r="J18" s="32"/>
    </row>
    <row r="19" spans="1:12" ht="12" customHeight="1">
      <c r="A19" s="61">
        <f t="shared" si="1"/>
        <v>13</v>
      </c>
      <c r="B19" s="65" t="s">
        <v>89</v>
      </c>
      <c r="C19" s="62"/>
      <c r="D19" s="62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32</v>
      </c>
      <c r="E19" s="62">
        <f t="shared" si="0"/>
        <v>32</v>
      </c>
      <c r="F19" s="62"/>
      <c r="G19" s="62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896</v>
      </c>
      <c r="H19" s="62">
        <f t="shared" si="2"/>
        <v>896</v>
      </c>
      <c r="I19" s="74">
        <f>'01'!M47+'02'!M47+'03'!M47+'04'!M47+'05'!M47+'06'!M47+'07'!M47+'08'!M47+'09'!M47+'10'!M47+'11'!M47+'12'!M47+'13'!M47+'14'!M47+'15'!M47+'16'!M47+'17'!M47+'18'!M47+'19'!M47+'20'!M47+'21'!M47+'22'!M47+'23'!M47+'24'!M47+'25'!M47+'26'!M47+'27'!M47+'28'!M47+'29'!M47+'30'!M47+'31'!M47</f>
        <v>6230400</v>
      </c>
      <c r="J19" s="32"/>
    </row>
    <row r="20" spans="1:12" ht="12" customHeight="1">
      <c r="A20" s="61">
        <f t="shared" si="1"/>
        <v>14</v>
      </c>
      <c r="B20" s="65" t="s">
        <v>90</v>
      </c>
      <c r="C20" s="62"/>
      <c r="D20" s="62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152</v>
      </c>
      <c r="E20" s="62">
        <f t="shared" si="0"/>
        <v>152</v>
      </c>
      <c r="F20" s="62"/>
      <c r="G20" s="62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2657</v>
      </c>
      <c r="H20" s="62">
        <f t="shared" si="2"/>
        <v>2657</v>
      </c>
      <c r="I20" s="74">
        <f>'01'!M49+'02'!M49+'03'!M49+'04'!M49+'05'!M49+'06'!M49+'07'!M49+'08'!M49+'09'!M49+'10'!M49+'11'!M49+'12'!M49+'13'!M49+'14'!M49+'15'!M49+'16'!M49+'17'!M49+'18'!M49+'19'!M49+'20'!M49+'21'!M49+'22'!M49+'23'!M49+'24'!M49+'25'!M49+'26'!M49+'27'!M49+'28'!M49+'29'!M49+'30'!M49+'31'!M49</f>
        <v>11686400</v>
      </c>
      <c r="J20" s="32"/>
    </row>
    <row r="21" spans="1:12" ht="12" customHeight="1">
      <c r="A21" s="61">
        <f t="shared" si="1"/>
        <v>15</v>
      </c>
      <c r="B21" s="204" t="s">
        <v>217</v>
      </c>
      <c r="C21" s="62"/>
      <c r="D21" s="62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8</v>
      </c>
      <c r="E21" s="62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8</v>
      </c>
      <c r="F21" s="62"/>
      <c r="G21" s="62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340</v>
      </c>
      <c r="H21" s="62">
        <f t="shared" si="2"/>
        <v>340</v>
      </c>
      <c r="I21" s="74">
        <f>'01'!M52+'02'!M52+'03'!M52+'04'!M52+'05'!M52+'06'!M52+'07'!M52+'08'!M52+'09'!M52+'10'!M52+'11'!M52+'12'!M52+'13'!M52+'14'!M52+'15'!M52+'16'!M52+'17'!M52+'18'!M52+'19'!M52+'20'!M52+'21'!M52+'22'!M52+'23'!M52+'24'!M52+'25'!M52+'26'!M52+'27'!M52+'28'!M52+'29'!M52+'30'!M52+'31'!M52</f>
        <v>3078040</v>
      </c>
      <c r="J21" s="32"/>
    </row>
    <row r="22" spans="1:12" ht="12" customHeight="1">
      <c r="A22" s="61">
        <f t="shared" si="1"/>
        <v>16</v>
      </c>
      <c r="B22" s="204" t="s">
        <v>211</v>
      </c>
      <c r="C22" s="62"/>
      <c r="D22" s="62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4</v>
      </c>
      <c r="E22" s="62">
        <f t="shared" si="0"/>
        <v>4</v>
      </c>
      <c r="F22" s="62"/>
      <c r="G22" s="62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176</v>
      </c>
      <c r="H22" s="62">
        <f t="shared" si="2"/>
        <v>176</v>
      </c>
      <c r="I22" s="74">
        <f>'01'!M54+'02'!M54+'03'!M54+'04'!M54+'05'!M54+'06'!M54+'07'!M54+'08'!M54+'09'!M54+'10'!M54+'11'!M54+'12'!M54+'13'!M54+'14'!M54+'15'!M54+'16'!M54+'17'!M54+'18'!M54+'19'!M54+'20'!M54+'21'!M54+'22'!M54+'23'!M54+'24'!M54+'25'!M54+'26'!M54+'27'!M54+'28'!M54+'29'!M54+'30'!M54+'31'!M54</f>
        <v>1759200</v>
      </c>
      <c r="J22" s="32"/>
      <c r="L22">
        <f>14*6</f>
        <v>84</v>
      </c>
    </row>
    <row r="23" spans="1:12" ht="12" customHeight="1">
      <c r="A23" s="61">
        <f t="shared" si="1"/>
        <v>17</v>
      </c>
      <c r="B23" s="65" t="s">
        <v>168</v>
      </c>
      <c r="C23" s="62"/>
      <c r="D23" s="62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9</v>
      </c>
      <c r="E23" s="62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9</v>
      </c>
      <c r="F23" s="62"/>
      <c r="G23" s="62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342</v>
      </c>
      <c r="H23" s="62">
        <f t="shared" si="2"/>
        <v>342</v>
      </c>
      <c r="I23" s="74">
        <f>'01'!M56+'02'!M56+'03'!M56+'04'!M56+'05'!M56+'06'!M56+'07'!M56+'08'!M56+'09'!M56+'10'!M56+'11'!M56+'12'!M56+'13'!M56+'14'!M56+'15'!M56+'16'!M56+'17'!M56+'18'!M56+'19'!M56+'20'!M56+'21'!M56+'22'!M56+'23'!M56+'24'!M56+'25'!M56+'26'!M56+'27'!M56+'28'!M56+'29'!M56+'30'!M56+'31'!M56</f>
        <v>2853000</v>
      </c>
      <c r="J23" s="32"/>
    </row>
    <row r="24" spans="1:12" ht="12" customHeight="1">
      <c r="A24" s="61">
        <f t="shared" si="1"/>
        <v>18</v>
      </c>
      <c r="B24" s="204" t="s">
        <v>243</v>
      </c>
      <c r="C24" s="62"/>
      <c r="D24" s="62">
        <f>'01'!D58+'02'!D58+'03'!D58+'04'!D58+'05'!D58+'06'!D58+'07'!D58+'08'!D58+'09'!D58+'10'!D58+'11'!D58+'12'!D58+'13'!D58+'14'!D58+'15'!D58+'16'!D58+'17'!D58+'18'!D58+'19'!D58+'20'!D58+'21'!D58+'22'!D58+'23'!D58+'24'!D58+'25'!D58+'26'!D58+'27'!D58+'28'!D58+'29'!D58+'30'!D58+'31'!D58</f>
        <v>34</v>
      </c>
      <c r="E24" s="62">
        <f>'01'!E58+'02'!E58+'03'!E58+'04'!E58+'05'!E58+'06'!E58+'07'!E58+'08'!E58+'09'!E58+'10'!E58+'11'!E58+'12'!E58+'13'!E58+'14'!E58+'15'!E58+'16'!E58+'17'!E58+'18'!E58+'19'!E58+'20'!E58+'21'!E58+'22'!E58+'23'!E58+'24'!E58+'25'!E58+'26'!E58+'27'!E58+'28'!E58+'29'!E58+'30'!E58+'31'!E58</f>
        <v>34</v>
      </c>
      <c r="F24" s="62"/>
      <c r="G24" s="62">
        <f>'01'!G58+'02'!G58+'03'!G58+'04'!G58+'05'!G58+'06'!G58+'07'!G58+'08'!G58+'09'!G58+'10'!G58+'11'!G58+'12'!G58+'13'!G58+'14'!G58+'15'!G58+'16'!G58+'17'!G58+'18'!G58+'19'!G58+'20'!G58+'21'!G58+'22'!G58+'23'!G58+'24'!G58+'25'!G58+'26'!G58+'27'!G58+'28'!G58+'29'!G58+'30'!G58+'31'!G58</f>
        <v>1463</v>
      </c>
      <c r="H24" s="62">
        <f t="shared" si="2"/>
        <v>1463</v>
      </c>
      <c r="I24" s="74">
        <f>'01'!M58+'02'!M58+'03'!M58+'04'!M58+'05'!M58+'06'!M58+'07'!M58+'08'!M58+'09'!M58+'10'!M58+'11'!M58+'12'!M58+'13'!M58+'14'!M58+'15'!M58+'16'!M58+'17'!M58+'18'!M58+'19'!M58+'20'!M58+'21'!M58+'22'!M58+'23'!M58+'24'!M58+'25'!M58+'26'!M58+'27'!M58+'28'!M58+'29'!M58+'30'!M58+'31'!M58</f>
        <v>11007240</v>
      </c>
      <c r="J24" s="32"/>
    </row>
    <row r="25" spans="1:12" ht="12" customHeight="1">
      <c r="A25" s="61">
        <v>19</v>
      </c>
      <c r="B25" s="204" t="s">
        <v>218</v>
      </c>
      <c r="C25" s="62">
        <f>'01'!C60+'02'!C60+'03'!C60+'04'!C60+'05'!C60+'06'!C60+'07'!C60+'08'!C60+'09'!C60+'10'!C60+'11'!C60+'12'!C60+'13'!C60+'14'!C60+'15'!C60+'16'!C60+'17'!C60+'18'!C60+'19'!C60+'20'!C60+'21'!C60+'22'!C60+'23'!C60+'24'!C60+'25'!C60+'26'!C60+'27'!C60+'28'!C60+'29'!C60+'30'!C60+'31'!C60</f>
        <v>5</v>
      </c>
      <c r="D25" s="62"/>
      <c r="E25" s="62">
        <f>'01'!E60+'02'!E60+'03'!E60+'04'!E60+'05'!E60+'06'!E60+'07'!E60+'08'!E60+'09'!E60+'10'!E60+'11'!E60+'12'!E60+'13'!E60+'14'!E60+'15'!E60+'16'!E60+'17'!E60+'18'!E60+'19'!E60+'20'!E60+'21'!E60+'22'!E60+'23'!E60+'24'!E60+'25'!E60+'26'!E60+'27'!E60+'28'!E60+'29'!E60+'30'!E60+'31'!E60</f>
        <v>5</v>
      </c>
      <c r="F25" s="62">
        <f>'01'!F60+'02'!F60+'03'!F60+'04'!F60+'05'!F60+'06'!F60+'07'!F60+'08'!F60+'09'!F60+'10'!F60+'11'!F60+'12'!F60+'13'!F60+'14'!F60+'15'!F60+'16'!F60+'17'!F60+'18'!F60+'19'!F60+'20'!F60+'21'!F60+'22'!F60+'23'!F60+'24'!F60+'25'!F60+'26'!F60+'27'!F60+'28'!F60+'29'!F60+'30'!F60+'31'!F60</f>
        <v>195</v>
      </c>
      <c r="G25" s="62"/>
      <c r="H25" s="62">
        <f t="shared" si="2"/>
        <v>195</v>
      </c>
      <c r="I25" s="220">
        <f>'01'!M60+'02'!M60+'03'!M60+'04'!M60+'05'!M60+'06'!M60+'07'!M60+'08'!M60+'09'!M60+'10'!M60+'11'!M60+'12'!M60+'13'!M60+'14'!M60+'15'!M60+'16'!M60+'17'!M60+'18'!M60+'19'!M60+'20'!M60+'21'!M60+'22'!M60+'23'!M60+'24'!M60+'25'!M60+'26'!M60+'27'!M60+'28'!M60+'29'!M60+'30'!M60+'31'!M60</f>
        <v>1956500</v>
      </c>
      <c r="J25" s="32"/>
    </row>
    <row r="26" spans="1:12" s="73" customFormat="1" ht="18.75" customHeight="1">
      <c r="A26" s="72"/>
      <c r="B26" s="93" t="s">
        <v>55</v>
      </c>
      <c r="C26" s="94">
        <f>SUM(C7:C25)</f>
        <v>1145</v>
      </c>
      <c r="D26" s="94">
        <f t="shared" ref="D26:I26" si="3">SUM(D7:D25)</f>
        <v>6417</v>
      </c>
      <c r="E26" s="94">
        <f t="shared" si="3"/>
        <v>7562</v>
      </c>
      <c r="F26" s="94">
        <f t="shared" si="3"/>
        <v>20549</v>
      </c>
      <c r="G26" s="94">
        <f t="shared" si="3"/>
        <v>114271</v>
      </c>
      <c r="H26" s="94">
        <f t="shared" si="3"/>
        <v>134820</v>
      </c>
      <c r="I26" s="172">
        <f t="shared" si="3"/>
        <v>582957420</v>
      </c>
      <c r="L26">
        <f>I26*2</f>
        <v>1165914840</v>
      </c>
    </row>
    <row r="27" spans="1:12">
      <c r="A27" s="313" t="s">
        <v>122</v>
      </c>
      <c r="B27" s="314"/>
      <c r="C27" s="314"/>
      <c r="D27" s="314"/>
      <c r="E27" s="314"/>
      <c r="F27" s="314"/>
      <c r="G27" s="314"/>
      <c r="H27" s="314"/>
      <c r="I27" s="315"/>
      <c r="J27" t="s">
        <v>72</v>
      </c>
      <c r="K27" t="s">
        <v>72</v>
      </c>
    </row>
    <row r="28" spans="1:12">
      <c r="A28" s="63" t="s">
        <v>47</v>
      </c>
      <c r="B28" s="64" t="s">
        <v>56</v>
      </c>
      <c r="C28" s="301" t="s">
        <v>57</v>
      </c>
      <c r="D28" s="302"/>
      <c r="E28" s="316" t="s">
        <v>51</v>
      </c>
      <c r="F28" s="302"/>
      <c r="G28" s="64" t="s">
        <v>73</v>
      </c>
      <c r="H28" s="64" t="s">
        <v>58</v>
      </c>
      <c r="I28" s="75" t="s">
        <v>51</v>
      </c>
    </row>
    <row r="29" spans="1:12" ht="12" customHeight="1">
      <c r="A29" s="66">
        <v>1</v>
      </c>
      <c r="B29" s="67" t="s">
        <v>59</v>
      </c>
      <c r="C29" s="223">
        <f>H39</f>
        <v>1540</v>
      </c>
      <c r="D29" s="224"/>
      <c r="E29" s="295">
        <f>I39</f>
        <v>48716520</v>
      </c>
      <c r="F29" s="296"/>
      <c r="G29" s="67" t="s">
        <v>74</v>
      </c>
      <c r="H29" s="213">
        <f>'01'!C67+'02'!C67+'03'!C67+'04'!C67+'05'!C67+'06'!C67+'07'!C67+'08'!C67+'09'!C67+'10'!C67+'11'!C67+'12'!C67+'13'!C67+'14'!C67+'15'!C67+'16'!C67+'17'!C67+'18'!C67+'19'!C67+'20'!C67+'21'!C67+'22'!C67+'23'!C67+'24'!C67+'25'!C67+'26'!C67+'27'!C67+'28'!C67+'29'!C67+'30'!C67+'31'!C67</f>
        <v>456</v>
      </c>
      <c r="I29" s="76">
        <f>H29*25000</f>
        <v>11400000</v>
      </c>
    </row>
    <row r="30" spans="1:12" ht="12" customHeight="1">
      <c r="A30" s="66">
        <v>2</v>
      </c>
      <c r="B30" s="70" t="s">
        <v>60</v>
      </c>
      <c r="C30" s="223">
        <f>18*30</f>
        <v>540</v>
      </c>
      <c r="D30" s="224"/>
      <c r="E30" s="295">
        <f>16700000+450000+150000</f>
        <v>17300000</v>
      </c>
      <c r="F30" s="296"/>
      <c r="G30" s="67" t="s">
        <v>75</v>
      </c>
      <c r="H30" s="213">
        <f>'01'!C68+'02'!C68+'03'!C68+'04'!C68+'05'!C68+'06'!C68+'07'!C68+'08'!C68+'09'!C68+'10'!C68+'11'!C68+'12'!C68+'13'!C68+'14'!C68+'15'!C68+'16'!C68+'17'!C68+'18'!C68+'19'!C68+'20'!C68+'21'!C68+'22'!C68+'23'!C68+'24'!C68+'25'!C68+'26'!C68+'27'!C68+'28'!C68+'29'!C68+'30'!C68+'31'!C68</f>
        <v>438</v>
      </c>
      <c r="I30" s="76">
        <f>H30*30000</f>
        <v>13140000</v>
      </c>
    </row>
    <row r="31" spans="1:12" ht="12" customHeight="1">
      <c r="A31" s="68">
        <v>3</v>
      </c>
      <c r="B31" s="67" t="s">
        <v>61</v>
      </c>
      <c r="C31" s="225">
        <f>'01'!L71+'02'!L71+'03'!L71+'04'!L71+'05'!L71+'06'!L71+'07'!L71+'08'!L71+'09'!L71+'10'!L71+'11'!L71+'12'!L71+'13'!L71+'14'!L71+'15'!L71+'16'!L71+'17'!L71+'18'!L71+'19'!L71+'20'!L71+'21'!L71+'22'!L71+'23'!L71+'24'!L71+'25'!L71+'26'!L71+'27'!L71+'28'!L71+'29'!L71+'30'!L71+'31'!L71</f>
        <v>3297</v>
      </c>
      <c r="D31" s="226"/>
      <c r="E31" s="317">
        <f>'01'!M71+'02'!M71+'03'!M71+'04'!M71+'05'!M71+'06'!M71+'07'!M71+'08'!M71+'09'!M71+'10'!M71+'11'!M71+'12'!M71+'13'!M71+'14'!M71+'15'!M71+'16'!M71+'17'!M71+'18'!M71+'19'!M71+'20'!M71+'21'!M71+'22'!M71+'23'!M71+'24'!M71+'25'!M71+'26'!M71+'27'!M71+'28'!M71+'29'!M71+'30'!M71+'31'!M71</f>
        <v>38239000</v>
      </c>
      <c r="F31" s="296"/>
      <c r="G31" s="67" t="s">
        <v>76</v>
      </c>
      <c r="H31" s="213">
        <f>'01'!C69+'02'!C69+'03'!C69+'04'!C69+'05'!C69+'06'!C69+'07'!C69+'08'!C69+'09'!C69+'10'!C69+'11'!C69+'12'!C69+'13'!C69+'14'!C69+'15'!C69+'16'!C69+'17'!C69+'18'!C69+'19'!C69+'20'!C69+'21'!C69+'22'!C69+'23'!C69+'24'!C69+'25'!C69+'26'!C69+'27'!C69+'28'!C69+'29'!C69+'30'!C69+'31'!C69</f>
        <v>409</v>
      </c>
      <c r="I31" s="76">
        <f>H31*35000</f>
        <v>14315000</v>
      </c>
    </row>
    <row r="32" spans="1:12" ht="12" customHeight="1">
      <c r="A32" s="66">
        <v>4</v>
      </c>
      <c r="B32" s="71" t="s">
        <v>62</v>
      </c>
      <c r="C32" s="223">
        <f>22*30</f>
        <v>660</v>
      </c>
      <c r="D32" s="224"/>
      <c r="E32" s="295">
        <v>17600000</v>
      </c>
      <c r="F32" s="296"/>
      <c r="G32" s="67" t="s">
        <v>77</v>
      </c>
      <c r="H32" s="213">
        <f>'01'!C70+'02'!C70+'03'!C70+'04'!C70+'05'!C70+'06'!C70+'07'!C70+'08'!C70+'09'!C70+'10'!C70+'11'!C70+'12'!C70+'13'!C70+'14'!C70+'15'!C70+'16'!C70+'17'!C70+'18'!C70+'19'!C70+'20'!C70+'21'!C70+'22'!C70+'23'!C70+'24'!C70+'25'!C70+'26'!C70+'27'!C70+'28'!C70+'29'!C70+'30'!C70+'31'!C70</f>
        <v>446</v>
      </c>
      <c r="I32" s="76">
        <f>H32*20000</f>
        <v>8920000</v>
      </c>
    </row>
    <row r="33" spans="1:11" ht="12" customHeight="1">
      <c r="A33" s="66">
        <v>5</v>
      </c>
      <c r="B33" s="67" t="s">
        <v>63</v>
      </c>
      <c r="C33" s="225">
        <f>C34+C35</f>
        <v>115</v>
      </c>
      <c r="D33" s="226"/>
      <c r="E33" s="295">
        <f>(C35*15000)+(C34*20000)</f>
        <v>1860000</v>
      </c>
      <c r="F33" s="296"/>
      <c r="G33" s="67" t="s">
        <v>78</v>
      </c>
      <c r="H33" s="213">
        <f>'01'!C71+'02'!C71+'03'!C71+'04'!C71+'05'!C71+'06'!C71+'07'!C71+'08'!C71+'09'!C71+'10'!C71+'11'!C71+'12'!C71+'13'!C71+'14'!C71+'15'!C71+'16'!C71+'17'!C71+'18'!C71+'19'!C71+'20'!C71+'21'!C71+'22'!C71+'23'!C71+'24'!C71+'25'!C71+'26'!C71+'27'!C71+'28'!C71+'29'!C71+'30'!C71+'31'!C71</f>
        <v>0</v>
      </c>
      <c r="I33" s="76">
        <f>H33*45000</f>
        <v>0</v>
      </c>
    </row>
    <row r="34" spans="1:11" ht="12" customHeight="1">
      <c r="A34" s="66"/>
      <c r="B34" s="78" t="s">
        <v>94</v>
      </c>
      <c r="C34" s="225">
        <f>'01'!L65+'02'!L65+'03'!L65+'04'!L65+'05'!L65+'06'!L65+'07'!L65+'08'!L65+'09'!L65+'10'!L65+'11'!L65+'12'!L65+'13'!L65+'14'!L65+'15'!L65+'16'!L65+'17'!L65+'18'!L65+'19'!L65+'20'!L65+'21'!L65+'22'!L65+'23'!L65+'24'!L65+'25'!L65+'26'!L65+'27'!L65+'28'!L65+'29'!L65+'30'!L65+'31'!L65</f>
        <v>27</v>
      </c>
      <c r="D34" s="226"/>
      <c r="E34" s="317">
        <f>'01'!M65+'02'!M65+'03'!M65+'04'!M65+'05'!M65+'06'!M65+'07'!M65+'08'!M65+'09'!M65+'10'!M65+'11'!M65+'12'!M65+'13'!M65+'14'!M65+'15'!M65+'16'!M65+'17'!M65+'18'!M65+'19'!M65+'20'!M65+'21'!M65+'22'!M65+'23'!M65+'24'!M65+'25'!M65+'26'!M65+'27'!M65+'28'!M65+'29'!M65+'30'!M65+'31'!M65</f>
        <v>540000</v>
      </c>
      <c r="F34" s="296"/>
      <c r="G34" s="67" t="s">
        <v>92</v>
      </c>
      <c r="H34" s="213">
        <f>'01'!C72+'02'!C72+'03'!C72+'04'!C72+'05'!C72+'06'!C72+'07'!C72+'08'!C72+'09'!C72+'10'!C72+'11'!C72+'12'!C72+'13'!C72+'14'!C72+'15'!C72+'16'!C72+'17'!C72+'18'!C72+'19'!C72+'20'!C72+'21'!C72+'22'!C72+'23'!C72+'24'!C72+'25'!C72+'26'!C72+'27'!C72+'28'!C72+'29'!C72+'30'!C72+'31'!C72</f>
        <v>0</v>
      </c>
      <c r="I34" s="76">
        <f>H34*25000</f>
        <v>0</v>
      </c>
    </row>
    <row r="35" spans="1:11" ht="12" customHeight="1">
      <c r="A35" s="66"/>
      <c r="B35" s="78" t="s">
        <v>95</v>
      </c>
      <c r="C35" s="225">
        <f>'01'!L66+'02'!L66+'03'!L66+'04'!L66+'05'!L66+'06'!L66+'07'!L66+'08'!L66+'09'!L66+'10'!L66+'11'!L66+'12'!L66+'13'!L66+'14'!L66+'15'!L66+'16'!L66+'17'!L66+'18'!L66+'19'!L66+'20'!L66+'21'!L66+'22'!L66+'23'!L66+'24'!L66+'25'!L66+'26'!L66+'27'!L66+'28'!L66+'29'!L66+'30'!L66+'31'!L66</f>
        <v>88</v>
      </c>
      <c r="D35" s="226"/>
      <c r="E35" s="317">
        <f>'01'!M66+'02'!M66+'03'!M66+'04'!M66+'05'!M66+'06'!M66+'07'!M66+'08'!M66+'09'!M66+'10'!M66+'11'!M66+'12'!M66+'13'!M66+'14'!M66+'15'!M66+'16'!M66+'17'!M66+'18'!M66+'19'!M66+'20'!M66+'21'!M66+'22'!M66+'23'!M66+'24'!M66+'25'!M66+'26'!M66+'27'!M66+'28'!M66+'29'!M66+'30'!M66+'31'!M66</f>
        <v>1320000</v>
      </c>
      <c r="F35" s="296"/>
      <c r="G35" s="67" t="s">
        <v>123</v>
      </c>
      <c r="H35" s="213">
        <f>'01'!C73+'02'!C73+'03'!C73+'04'!C73+'05'!C73+'06'!C73+'07'!C73+'08'!C73+'09'!C73+'10'!C73+'11'!C73+'12'!C73+'13'!C73+'14'!C73+'15'!C73+'16'!C73+'17'!C73+'18'!C73+'19'!C73+'20'!C73+'21'!C73+'22'!C73+'23'!C73+'24'!C73+'25'!C73+'26'!C73+'27'!C73+'28'!C73+'29'!C73+'30'!C73+'31'!C73</f>
        <v>0</v>
      </c>
      <c r="I35" s="76">
        <f>H35*60000</f>
        <v>0</v>
      </c>
    </row>
    <row r="36" spans="1:11" ht="12" customHeight="1">
      <c r="A36" s="66">
        <v>6</v>
      </c>
      <c r="B36" s="78" t="s">
        <v>121</v>
      </c>
      <c r="C36" s="225">
        <f>'01'!L72+'02'!L72+'03'!L72+'04'!L72+'05'!L72+'06'!L72+'07'!L72+'08'!L72+'09'!L72+'10'!L72+'11'!L72+'12'!L72+'13'!L72+'14'!L72+'15'!L72+'16'!L72+'17'!L72+'18'!L72+'19'!L72+'20'!L72+'21'!L72+'22'!L72+'23'!L72+'24'!L72+'25'!L72+'26'!L72+'27'!L72+'28'!L72+'29'!L72+'30'!L72+'31'!L72</f>
        <v>1399</v>
      </c>
      <c r="D36" s="226"/>
      <c r="E36" s="317">
        <f>'01'!M72+'02'!M72+'03'!M72+'04'!M72+'05'!M72+'06'!M72+'07'!M72+'08'!M72+'09'!M72+'10'!M72+'11'!M72+'12'!M72+'13'!M72+'14'!M72+'15'!M72+'16'!M72+'17'!M72+'18'!M72+'19'!M72+'20'!M72+'21'!M72+'22'!M72+'23'!M72+'24'!M72+'25'!M72+'26'!M72+'27'!M72+'28'!M72+'29'!M72+'30'!M72+'31'!M72</f>
        <v>27980000</v>
      </c>
      <c r="F36" s="296"/>
      <c r="G36" s="67" t="s">
        <v>124</v>
      </c>
      <c r="H36" s="213">
        <f>'01'!C74+'02'!C74+'03'!C74+'04'!C74+'05'!C74+'06'!C74+'07'!C74+'08'!C74+'09'!C74+'10'!C74+'11'!C74+'12'!C74+'13'!C74+'14'!C74+'15'!C74+'16'!C74+'17'!C74+'18'!C74+'19'!C74+'20'!C74+'21'!C74+'22'!C74+'23'!C74+'24'!C74+'25'!C74+'26'!C74+'27'!C74+'28'!C74+'29'!C74+'30'!C74+'31'!C74</f>
        <v>0</v>
      </c>
      <c r="I36" s="76">
        <f>H36*30000</f>
        <v>0</v>
      </c>
    </row>
    <row r="37" spans="1:11" ht="14.25" customHeight="1">
      <c r="A37" s="66"/>
      <c r="B37" s="215" t="s">
        <v>32</v>
      </c>
      <c r="C37" s="227">
        <f>C29+C30+C31+C32+C33+C36</f>
        <v>7551</v>
      </c>
      <c r="D37" s="228"/>
      <c r="E37" s="227">
        <f>SUM(E29:F36)-E34-E35</f>
        <v>151695520</v>
      </c>
      <c r="F37" s="228"/>
      <c r="G37" s="67" t="s">
        <v>161</v>
      </c>
      <c r="H37" s="213">
        <f>'01'!C75+'02'!C75+'03'!C75+'04'!C75+'05'!C75+'06'!C75+'07'!C75+'08'!C75+'09'!C75+'10'!C75+'11'!C75+'12'!C75+'13'!C75+'14'!C75+'15'!C75+'16'!C75+'17'!C75+'18'!C75+'19'!C75+'20'!C75+'21'!C75+'22'!C75+'23'!C75+'24'!C75+'25'!C75+'26'!C75+'27'!C75+'28'!C75+'29'!C75+'30'!C75+'31'!C75</f>
        <v>5</v>
      </c>
      <c r="I37" s="214">
        <f>'01'!D75+'02'!D75+'03'!D75+'04'!D75+'05'!D75+'06'!D75+'07'!D75+'08'!D75+'09'!D75+'10'!D75+'11'!D75+'12'!D75+'13'!D75+'14'!D75+'15'!D75+'16'!D75+'17'!D75+'18'!D75+'19'!D75+'20'!D75+'21'!D75+'22'!D75+'23'!D75+'24'!D75+'25'!D75+'26'!D75+'27'!D75+'28'!D75+'29'!D75+'30'!D75+'31'!D75</f>
        <v>321040</v>
      </c>
    </row>
    <row r="38" spans="1:11" ht="12" customHeight="1">
      <c r="A38" s="319" t="s">
        <v>64</v>
      </c>
      <c r="B38" s="320"/>
      <c r="C38" s="320"/>
      <c r="D38" s="321"/>
      <c r="E38" s="320">
        <f>I26+E37</f>
        <v>734652940</v>
      </c>
      <c r="F38" s="321"/>
      <c r="G38" s="67" t="s">
        <v>162</v>
      </c>
      <c r="H38" s="213">
        <f>'01'!C76+'02'!C76+'03'!C76+'04'!C76+'05'!C76+'06'!C76+'07'!C76+'08'!C76+'09'!C76+'10'!C76+'11'!C76+'12'!C76+'13'!C76+'14'!C76+'15'!C76+'16'!C76+'17'!C76+'18'!C76+'19'!C76+'20'!C76+'21'!C76+'22'!C76+'23'!C76+'24'!C76+'25'!C76+'26'!C76+'27'!C76+'28'!C76+'29'!C76+'30'!C76+'31'!C76</f>
        <v>9</v>
      </c>
      <c r="I38" s="214">
        <f>'01'!D76+'02'!D76+'03'!D76+'04'!D76+'05'!D76+'06'!D76+'07'!D76+'08'!D76+'09'!D76+'10'!D76+'11'!D76+'12'!D76+'13'!D76+'14'!D76+'15'!D76+'16'!D76+'17'!D76+'18'!D76+'19'!D76+'20'!D76+'21'!D76+'22'!D76+'23'!D76+'24'!D76+'25'!D76+'26'!D76+'27'!D76+'28'!D76+'29'!D76+'30'!D76+'31'!D76</f>
        <v>620480</v>
      </c>
    </row>
    <row r="39" spans="1:11" ht="12" customHeight="1" thickBot="1">
      <c r="A39" s="322"/>
      <c r="B39" s="323"/>
      <c r="C39" s="323"/>
      <c r="D39" s="324"/>
      <c r="E39" s="323"/>
      <c r="F39" s="324"/>
      <c r="G39" s="69" t="s">
        <v>54</v>
      </c>
      <c r="H39" s="178">
        <f>H29+H30+H31+(H32/2)+H33+(H34/2)+H35+(H36/2)+H37+H38</f>
        <v>1540</v>
      </c>
      <c r="I39" s="77">
        <f>SUM(I29:I38)</f>
        <v>48716520</v>
      </c>
    </row>
    <row r="40" spans="1:11" ht="13.5" thickTop="1">
      <c r="A40" s="4"/>
      <c r="B40" s="60" t="s">
        <v>65</v>
      </c>
      <c r="C40" s="4"/>
      <c r="D40" s="4"/>
      <c r="E40" s="171"/>
      <c r="F40" s="4"/>
      <c r="G40" s="318" t="s">
        <v>239</v>
      </c>
      <c r="H40" s="318"/>
      <c r="I40" s="318"/>
    </row>
    <row r="41" spans="1:11">
      <c r="D41" s="32"/>
      <c r="F41" s="32"/>
      <c r="G41" s="297"/>
      <c r="H41" s="297"/>
      <c r="I41" s="297"/>
    </row>
    <row r="42" spans="1:11">
      <c r="B42" s="32"/>
      <c r="D42" s="32"/>
      <c r="I42" s="32"/>
    </row>
    <row r="43" spans="1:11">
      <c r="B43" s="32"/>
      <c r="C43" s="32"/>
      <c r="D43" s="32"/>
      <c r="G43" s="32"/>
      <c r="I43" s="32"/>
      <c r="K43" t="s">
        <v>72</v>
      </c>
    </row>
    <row r="44" spans="1:11">
      <c r="B44" s="32"/>
      <c r="D44" s="32"/>
      <c r="E44" s="32"/>
      <c r="G44" s="32"/>
      <c r="H44" s="32"/>
    </row>
    <row r="45" spans="1:11">
      <c r="G45" s="32"/>
      <c r="I45" s="32"/>
    </row>
    <row r="46" spans="1:11">
      <c r="G46" s="32"/>
    </row>
    <row r="47" spans="1:11" ht="13.5" thickBot="1"/>
    <row r="48" spans="1:11">
      <c r="B48" s="32"/>
      <c r="D48" s="106" t="s">
        <v>129</v>
      </c>
      <c r="E48" s="107" t="s">
        <v>130</v>
      </c>
      <c r="F48" s="108" t="s">
        <v>131</v>
      </c>
      <c r="H48" s="32"/>
    </row>
    <row r="49" spans="2:9">
      <c r="B49" s="103"/>
      <c r="D49" s="169" t="s">
        <v>132</v>
      </c>
      <c r="E49" s="174">
        <f>'01'!L70+'02'!L68+'03'!L68+'04'!L68+'05'!L68+'06'!L68+'07'!L68+'08'!L68+'09'!L68+'10'!L68+'11'!L68+'12'!L68+'13'!L68+'14'!L68+'15'!L68+'16'!L68+'17'!L68+'18'!L68+'19'!L68+'20'!L68+'21'!L68+'22'!L68+'23'!L68+'24'!L68+'25'!L68+'26'!L68+'27'!L68+'28'!L68+'29'!L68+'30'!L68+'31'!L68</f>
        <v>36.5</v>
      </c>
      <c r="F49" s="175">
        <f>'01'!M70+'02'!M68+'03'!M68+'04'!M68+'05'!M68+'06'!M68+'07'!M68+'08'!M68+'09'!M68+'10'!M68+'11'!M68+'12'!M68+'13'!M68+'14'!M68+'15'!M68+'16'!M68+'17'!M68+'18'!M68+'19'!M68+'20'!M68+'21'!M68+'22'!M68+'23'!M68+'24'!M68+'25'!M68+'26'!M68+'27'!M68+'28'!M68+'29'!M68+'30'!M68+'31'!M68</f>
        <v>1195280</v>
      </c>
      <c r="G49" t="s">
        <v>72</v>
      </c>
    </row>
    <row r="50" spans="2:9">
      <c r="B50" s="32"/>
      <c r="D50" s="169" t="s">
        <v>136</v>
      </c>
      <c r="E50" s="174">
        <f>'01'!L71+'02'!L71+'03'!L71+'04'!L71+'05'!L71+'06'!L71+'07'!L71+'08'!L71+'09'!L71+'10'!L71+'11'!L71+'12'!L71+'13'!L71+'14'!L71+'15'!L71+'16'!L71+'17'!L71+'18'!L71+'19'!L71+'20'!L71+'21'!L71+'22'!L71+'23'!L71+'24'!L71+'25'!L71+'26'!L71+'27'!L71+'28'!L71+'29'!L71+'30'!L71+'31'!L71</f>
        <v>3297</v>
      </c>
      <c r="F50" s="175">
        <f>'01'!M71+'02'!M71+'03'!M71+'04'!M71+'05'!M71+'06'!M71+'07'!M71+'08'!M71+'09'!M71+'10'!M71+'11'!M71+'12'!M71+'13'!M71+'14'!M71+'15'!M71+'16'!M71+'17'!M71+'18'!M71+'19'!M71+'20'!M71+'21'!M71+'22'!M71+'23'!M71+'24'!M71+'25'!M71+'26'!M71+'27'!M71+'28'!M71+'29'!M71+'30'!M71+'31'!M71</f>
        <v>38239000</v>
      </c>
      <c r="G50" s="32"/>
      <c r="H50" s="32"/>
    </row>
    <row r="51" spans="2:9">
      <c r="B51" s="32"/>
      <c r="D51" s="169" t="s">
        <v>135</v>
      </c>
      <c r="E51" s="174">
        <f>'01'!L72+'02'!L72+'03'!L72+'04'!L72+'05'!L72+'06'!L72+'07'!L72+'08'!L72+'09'!L72+'10'!L72+'11'!L72+'12'!L72+'13'!L72+'14'!L72+'15'!L72+'16'!L72+'17'!L72+'18'!L72+'19'!L72+'20'!L72+'21'!L72+'22'!L72+'23'!L72+'24'!L72+'25'!L72+'26'!L72+'27'!L72+'28'!L72+'29'!L72+'30'!L72+'31'!L72</f>
        <v>1399</v>
      </c>
      <c r="F51" s="175">
        <f>'01'!M72+'02'!M72+'03'!M72+'04'!M72+'05'!M72+'06'!M72+'07'!M72+'08'!M72+'09'!M72+'10'!M72+'11'!M72+'12'!M72+'13'!M72+'14'!M72+'15'!M72+'16'!M72+'17'!M72+'18'!M72+'19'!M72+'20'!M72+'21'!M72+'22'!M72+'23'!M72+'24'!M72+'25'!M72+'26'!M72+'27'!M72+'28'!M72+'29'!M72+'30'!M72+'31'!M72</f>
        <v>27980000</v>
      </c>
      <c r="I51" t="s">
        <v>72</v>
      </c>
    </row>
    <row r="52" spans="2:9" ht="12.75" customHeight="1" thickBot="1">
      <c r="B52" s="32"/>
      <c r="D52" s="168" t="s">
        <v>140</v>
      </c>
      <c r="E52" s="176">
        <f>'01'!L73+'02'!L73+'03'!L73+'04'!L73+'05'!L73+'06'!L73+'07'!L73+'08'!L73+'09'!L73+'10'!L73+'11'!L73+'12'!L73+'13'!L73+'14'!L73+'15'!L73+'16'!L73+'17'!L73+'18'!L73+'19'!L73+'20'!L73+'21'!L73+'22'!L73+'23'!L73+'24'!L73+'25'!L73+'26'!L73+'27'!L73+'28'!L73+'29'!L73+'30'!L73+'31'!L73</f>
        <v>1514</v>
      </c>
      <c r="F52" s="177"/>
      <c r="H52" t="s">
        <v>72</v>
      </c>
    </row>
    <row r="53" spans="2:9">
      <c r="B53" s="32"/>
      <c r="D53" s="116"/>
      <c r="E53" s="117"/>
      <c r="H53" t="s">
        <v>72</v>
      </c>
      <c r="I53" t="s">
        <v>72</v>
      </c>
    </row>
    <row r="54" spans="2:9">
      <c r="B54" s="105"/>
    </row>
  </sheetData>
  <mergeCells count="26">
    <mergeCell ref="E36:F36"/>
    <mergeCell ref="G40:I40"/>
    <mergeCell ref="A38:D39"/>
    <mergeCell ref="E38:F39"/>
    <mergeCell ref="E30:F30"/>
    <mergeCell ref="E32:F32"/>
    <mergeCell ref="E31:F31"/>
    <mergeCell ref="E33:F33"/>
    <mergeCell ref="E34:F34"/>
    <mergeCell ref="E35:F35"/>
    <mergeCell ref="E29:F29"/>
    <mergeCell ref="G41:I41"/>
    <mergeCell ref="A1:D1"/>
    <mergeCell ref="A2:D2"/>
    <mergeCell ref="E1:I1"/>
    <mergeCell ref="E2:I2"/>
    <mergeCell ref="C28:D28"/>
    <mergeCell ref="A3:I3"/>
    <mergeCell ref="A4:I4"/>
    <mergeCell ref="A5:A6"/>
    <mergeCell ref="B5:B6"/>
    <mergeCell ref="C5:E5"/>
    <mergeCell ref="F5:H5"/>
    <mergeCell ref="I5:I6"/>
    <mergeCell ref="A27:I27"/>
    <mergeCell ref="E28:F28"/>
  </mergeCells>
  <phoneticPr fontId="9" type="noConversion"/>
  <pageMargins left="0.45" right="0.41" top="0.43" bottom="0.56999999999999995" header="0.28000000000000003" footer="0.28999999999999998"/>
  <pageSetup orientation="landscape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dimension ref="A1:M80"/>
  <sheetViews>
    <sheetView topLeftCell="A54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3</v>
      </c>
      <c r="E8" s="34">
        <f>SUM(E9:E12)</f>
        <v>4</v>
      </c>
      <c r="F8" s="34">
        <f>F9</f>
        <v>24</v>
      </c>
      <c r="G8" s="34">
        <f>G10+G11+G12</f>
        <v>84</v>
      </c>
      <c r="H8" s="35">
        <f>SUM(H9:H12)</f>
        <v>108</v>
      </c>
      <c r="I8" s="35">
        <f>SUM(I9:I12)</f>
        <v>113</v>
      </c>
      <c r="J8" s="35">
        <f>SUM(J9:J12)</f>
        <v>388800</v>
      </c>
      <c r="K8" s="35">
        <f>SUM(K9:K12)</f>
        <v>121600</v>
      </c>
      <c r="L8" s="34">
        <f>L9+L10+L11+L12</f>
        <v>0</v>
      </c>
      <c r="M8" s="35">
        <f>SUM(M9:M12)</f>
        <v>510400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1</v>
      </c>
      <c r="E10" s="235">
        <f>D10</f>
        <v>1</v>
      </c>
      <c r="F10" s="235"/>
      <c r="G10" s="235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35"/>
      <c r="D11" s="235">
        <v>1</v>
      </c>
      <c r="E11" s="235">
        <f>D11</f>
        <v>1</v>
      </c>
      <c r="F11" s="235"/>
      <c r="G11" s="235">
        <v>28</v>
      </c>
      <c r="H11" s="30">
        <f>G11</f>
        <v>28</v>
      </c>
      <c r="I11" s="30">
        <f>H11+E11</f>
        <v>29</v>
      </c>
      <c r="J11" s="30">
        <f>3200*I11</f>
        <v>92800</v>
      </c>
      <c r="K11" s="30">
        <f t="shared" si="0"/>
        <v>44800</v>
      </c>
      <c r="L11" s="46"/>
      <c r="M11" s="43">
        <f>J11+K11</f>
        <v>137600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25</v>
      </c>
      <c r="D13" s="37">
        <f>D15+D16+D17+D18+D19</f>
        <v>32</v>
      </c>
      <c r="E13" s="37">
        <f>SUM(E14:E19)</f>
        <v>57</v>
      </c>
      <c r="F13" s="37">
        <f>F14</f>
        <v>375</v>
      </c>
      <c r="G13" s="37">
        <f>G15+G16+G17+G18+G19</f>
        <v>480</v>
      </c>
      <c r="H13" s="37">
        <f>SUM(H14:H19)</f>
        <v>855</v>
      </c>
      <c r="I13" s="37">
        <f>SUM(I14:I19)</f>
        <v>912</v>
      </c>
      <c r="J13" s="37">
        <f>SUM(J14:J19)</f>
        <v>2918400</v>
      </c>
      <c r="K13" s="37">
        <f>SUM(K14:K19)</f>
        <v>1368000</v>
      </c>
      <c r="L13" s="47">
        <f>L14+L15+L16+L17+L18+L19</f>
        <v>0</v>
      </c>
      <c r="M13" s="38">
        <f>SUM(M14:M19)</f>
        <v>4286400</v>
      </c>
    </row>
    <row r="14" spans="1:13">
      <c r="A14" s="12"/>
      <c r="B14" s="1" t="s">
        <v>3</v>
      </c>
      <c r="C14" s="235">
        <v>25</v>
      </c>
      <c r="D14" s="235"/>
      <c r="E14" s="235">
        <f>C14</f>
        <v>25</v>
      </c>
      <c r="F14" s="235">
        <f>C14*15</f>
        <v>375</v>
      </c>
      <c r="G14" s="235"/>
      <c r="H14" s="30">
        <f>F14</f>
        <v>375</v>
      </c>
      <c r="I14" s="30">
        <f t="shared" ref="I14:I19" si="1">H14+E14</f>
        <v>400</v>
      </c>
      <c r="J14" s="30">
        <f t="shared" ref="J14:J19" si="2">3200*I14</f>
        <v>1280000</v>
      </c>
      <c r="K14" s="30">
        <f t="shared" si="0"/>
        <v>600000</v>
      </c>
      <c r="L14" s="46"/>
      <c r="M14" s="43">
        <f t="shared" ref="M14:M19" si="3">J14+K14</f>
        <v>1880000</v>
      </c>
    </row>
    <row r="15" spans="1:13">
      <c r="A15" s="12"/>
      <c r="B15" s="1" t="s">
        <v>6</v>
      </c>
      <c r="C15" s="235"/>
      <c r="D15" s="235">
        <v>12</v>
      </c>
      <c r="E15" s="235">
        <f>D15</f>
        <v>12</v>
      </c>
      <c r="F15" s="235"/>
      <c r="G15" s="235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35"/>
      <c r="D16" s="235">
        <v>16</v>
      </c>
      <c r="E16" s="235">
        <f>D16</f>
        <v>16</v>
      </c>
      <c r="F16" s="235"/>
      <c r="G16" s="235">
        <f>D16*15</f>
        <v>240</v>
      </c>
      <c r="H16" s="30">
        <f>G16</f>
        <v>240</v>
      </c>
      <c r="I16" s="30">
        <f t="shared" si="1"/>
        <v>256</v>
      </c>
      <c r="J16" s="30">
        <f t="shared" si="2"/>
        <v>819200</v>
      </c>
      <c r="K16" s="30">
        <f t="shared" si="0"/>
        <v>384000</v>
      </c>
      <c r="L16" s="46"/>
      <c r="M16" s="43">
        <f t="shared" si="3"/>
        <v>1203200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2</v>
      </c>
      <c r="E19" s="235">
        <f>D19</f>
        <v>2</v>
      </c>
      <c r="F19" s="235"/>
      <c r="G19" s="235">
        <f>D19*15</f>
        <v>30</v>
      </c>
      <c r="H19" s="30">
        <f>G19</f>
        <v>30</v>
      </c>
      <c r="I19" s="30">
        <f t="shared" si="1"/>
        <v>32</v>
      </c>
      <c r="J19" s="30">
        <f t="shared" si="2"/>
        <v>102400</v>
      </c>
      <c r="K19" s="30">
        <f t="shared" si="0"/>
        <v>48000</v>
      </c>
      <c r="L19" s="46"/>
      <c r="M19" s="43">
        <f t="shared" si="3"/>
        <v>150400</v>
      </c>
    </row>
    <row r="20" spans="1:13">
      <c r="A20" s="36">
        <v>3</v>
      </c>
      <c r="B20" s="33" t="s">
        <v>22</v>
      </c>
      <c r="C20" s="37"/>
      <c r="D20" s="37">
        <f>D21</f>
        <v>86</v>
      </c>
      <c r="E20" s="37">
        <f>E21</f>
        <v>86</v>
      </c>
      <c r="F20" s="37"/>
      <c r="G20" s="37">
        <f t="shared" ref="G20:M20" si="4">G21</f>
        <v>1290</v>
      </c>
      <c r="H20" s="37">
        <f t="shared" si="4"/>
        <v>1290</v>
      </c>
      <c r="I20" s="37">
        <f t="shared" si="4"/>
        <v>1376</v>
      </c>
      <c r="J20" s="37">
        <f t="shared" si="4"/>
        <v>4403200</v>
      </c>
      <c r="K20" s="37">
        <f t="shared" si="4"/>
        <v>0</v>
      </c>
      <c r="L20" s="47">
        <f t="shared" si="4"/>
        <v>0</v>
      </c>
      <c r="M20" s="38">
        <f t="shared" si="4"/>
        <v>4403200</v>
      </c>
    </row>
    <row r="21" spans="1:13">
      <c r="A21" s="10"/>
      <c r="B21" s="24" t="s">
        <v>19</v>
      </c>
      <c r="C21" s="235"/>
      <c r="D21" s="235">
        <v>86</v>
      </c>
      <c r="E21" s="235">
        <f>D21</f>
        <v>86</v>
      </c>
      <c r="F21" s="235"/>
      <c r="G21" s="235">
        <f>E21*15</f>
        <v>1290</v>
      </c>
      <c r="H21" s="30">
        <f>G20</f>
        <v>1290</v>
      </c>
      <c r="I21" s="30">
        <f>H21+E21</f>
        <v>1376</v>
      </c>
      <c r="J21" s="30">
        <f>3200*I21</f>
        <v>4403200</v>
      </c>
      <c r="K21" s="30"/>
      <c r="L21" s="46"/>
      <c r="M21" s="43">
        <f>J21+K21</f>
        <v>4403200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2</v>
      </c>
      <c r="D28" s="37">
        <f>D30</f>
        <v>5</v>
      </c>
      <c r="E28" s="37">
        <f>E29+E30</f>
        <v>7</v>
      </c>
      <c r="F28" s="37">
        <f>F29</f>
        <v>56</v>
      </c>
      <c r="G28" s="37">
        <f>G30</f>
        <v>119</v>
      </c>
      <c r="H28" s="38">
        <f t="shared" ref="H28:M28" si="8">H29+H30</f>
        <v>175</v>
      </c>
      <c r="I28" s="38">
        <f t="shared" si="8"/>
        <v>182</v>
      </c>
      <c r="J28" s="38">
        <f t="shared" si="8"/>
        <v>582400</v>
      </c>
      <c r="K28" s="38">
        <f t="shared" si="8"/>
        <v>280000</v>
      </c>
      <c r="L28" s="48">
        <f t="shared" si="8"/>
        <v>0</v>
      </c>
      <c r="M28" s="216">
        <f t="shared" si="8"/>
        <v>905600</v>
      </c>
    </row>
    <row r="29" spans="1:13">
      <c r="A29" s="12"/>
      <c r="B29" s="1" t="s">
        <v>3</v>
      </c>
      <c r="C29" s="235">
        <v>2</v>
      </c>
      <c r="D29" s="235"/>
      <c r="E29" s="235">
        <f>C29</f>
        <v>2</v>
      </c>
      <c r="F29" s="235">
        <v>56</v>
      </c>
      <c r="G29" s="235"/>
      <c r="H29" s="30">
        <f>F29</f>
        <v>56</v>
      </c>
      <c r="I29" s="30">
        <f>H29+E29</f>
        <v>58</v>
      </c>
      <c r="J29" s="30">
        <f>3200*I29</f>
        <v>185600</v>
      </c>
      <c r="K29" s="30">
        <f>1600*H29</f>
        <v>89600</v>
      </c>
      <c r="L29" s="46"/>
      <c r="M29" s="43">
        <f>J29+K29</f>
        <v>275200</v>
      </c>
    </row>
    <row r="30" spans="1:13">
      <c r="A30" s="12"/>
      <c r="B30" s="1" t="s">
        <v>11</v>
      </c>
      <c r="C30" s="235"/>
      <c r="D30" s="235">
        <v>5</v>
      </c>
      <c r="E30" s="235">
        <f>D30</f>
        <v>5</v>
      </c>
      <c r="F30" s="235"/>
      <c r="G30" s="30">
        <v>119</v>
      </c>
      <c r="H30" s="30">
        <f>G30</f>
        <v>119</v>
      </c>
      <c r="I30" s="30">
        <f>H30+E30</f>
        <v>124</v>
      </c>
      <c r="J30" s="30">
        <f>3200*I30</f>
        <v>396800</v>
      </c>
      <c r="K30" s="30">
        <f>1600*H30</f>
        <v>190400</v>
      </c>
      <c r="L30" s="46"/>
      <c r="M30" s="43">
        <f>J30+K30+M62</f>
        <v>630400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25</v>
      </c>
      <c r="E31" s="37">
        <f t="shared" si="9"/>
        <v>25</v>
      </c>
      <c r="F31" s="37">
        <f t="shared" si="9"/>
        <v>0</v>
      </c>
      <c r="G31" s="37">
        <f t="shared" si="9"/>
        <v>375</v>
      </c>
      <c r="H31" s="37">
        <f t="shared" si="9"/>
        <v>375</v>
      </c>
      <c r="I31" s="37">
        <f t="shared" si="9"/>
        <v>400</v>
      </c>
      <c r="J31" s="37">
        <f t="shared" si="9"/>
        <v>1280000</v>
      </c>
      <c r="K31" s="37">
        <f t="shared" si="9"/>
        <v>0</v>
      </c>
      <c r="L31" s="37">
        <f t="shared" si="9"/>
        <v>0</v>
      </c>
      <c r="M31" s="38">
        <f t="shared" si="9"/>
        <v>1280000</v>
      </c>
    </row>
    <row r="32" spans="1:13">
      <c r="A32" s="10"/>
      <c r="B32" s="24" t="s">
        <v>19</v>
      </c>
      <c r="C32" s="235"/>
      <c r="D32" s="235">
        <v>25</v>
      </c>
      <c r="E32" s="235">
        <f>D32</f>
        <v>25</v>
      </c>
      <c r="F32" s="235"/>
      <c r="G32" s="235">
        <f>E32*15</f>
        <v>375</v>
      </c>
      <c r="H32" s="30">
        <f>G32</f>
        <v>375</v>
      </c>
      <c r="I32" s="30">
        <f>H32+E32</f>
        <v>400</v>
      </c>
      <c r="J32" s="30">
        <f>3200*I32</f>
        <v>1280000</v>
      </c>
      <c r="K32" s="30"/>
      <c r="L32" s="46"/>
      <c r="M32" s="43">
        <f>J32+K32</f>
        <v>1280000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160</v>
      </c>
      <c r="G33" s="37">
        <f>G35+G36</f>
        <v>257</v>
      </c>
      <c r="H33" s="38">
        <f t="shared" ref="H33:M33" si="10">H34+H35+H36</f>
        <v>417</v>
      </c>
      <c r="I33" s="38">
        <f t="shared" si="10"/>
        <v>433</v>
      </c>
      <c r="J33" s="35">
        <f t="shared" si="10"/>
        <v>1436800</v>
      </c>
      <c r="K33" s="35">
        <f t="shared" si="10"/>
        <v>569600</v>
      </c>
      <c r="L33" s="47">
        <f t="shared" si="10"/>
        <v>0</v>
      </c>
      <c r="M33" s="216">
        <f t="shared" si="10"/>
        <v>2006400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160</v>
      </c>
      <c r="G34" s="235"/>
      <c r="H34" s="30">
        <f>F34</f>
        <v>160</v>
      </c>
      <c r="I34" s="30">
        <f>H34+E34</f>
        <v>166</v>
      </c>
      <c r="J34" s="30">
        <f>3200*I34</f>
        <v>531200</v>
      </c>
      <c r="K34" s="30">
        <f>1600*H34</f>
        <v>256000</v>
      </c>
      <c r="L34" s="46"/>
      <c r="M34" s="43">
        <f>J34+K34</f>
        <v>787200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196</v>
      </c>
      <c r="H35" s="30">
        <f>G35</f>
        <v>196</v>
      </c>
      <c r="I35" s="30">
        <f>H35+E35</f>
        <v>203</v>
      </c>
      <c r="J35" s="30">
        <f>3200*I35</f>
        <v>649600</v>
      </c>
      <c r="K35" s="30">
        <f>1600*H35</f>
        <v>313600</v>
      </c>
      <c r="L35" s="46"/>
      <c r="M35" s="43">
        <f>J35+K35+M63</f>
        <v>963200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23</v>
      </c>
      <c r="E37" s="37">
        <f>E38</f>
        <v>23</v>
      </c>
      <c r="F37" s="37"/>
      <c r="G37" s="37">
        <f t="shared" ref="G37:M37" si="11">G38</f>
        <v>345</v>
      </c>
      <c r="H37" s="38">
        <f t="shared" si="11"/>
        <v>345</v>
      </c>
      <c r="I37" s="38">
        <f t="shared" si="11"/>
        <v>368</v>
      </c>
      <c r="J37" s="38">
        <f t="shared" si="11"/>
        <v>1472000</v>
      </c>
      <c r="K37" s="38">
        <f t="shared" si="11"/>
        <v>0</v>
      </c>
      <c r="L37" s="48">
        <f t="shared" si="11"/>
        <v>0</v>
      </c>
      <c r="M37" s="216">
        <f t="shared" si="11"/>
        <v>1472000</v>
      </c>
    </row>
    <row r="38" spans="1:13">
      <c r="A38" s="13"/>
      <c r="B38" s="96" t="s">
        <v>128</v>
      </c>
      <c r="C38" s="235"/>
      <c r="D38" s="235">
        <v>23</v>
      </c>
      <c r="E38" s="235">
        <f>D38</f>
        <v>23</v>
      </c>
      <c r="F38" s="235"/>
      <c r="G38" s="235">
        <f>E38*15</f>
        <v>345</v>
      </c>
      <c r="H38" s="30">
        <f>G38</f>
        <v>345</v>
      </c>
      <c r="I38" s="30">
        <f>H38+E38</f>
        <v>368</v>
      </c>
      <c r="J38" s="30">
        <f>4000*I38</f>
        <v>1472000</v>
      </c>
      <c r="K38" s="30"/>
      <c r="L38" s="46"/>
      <c r="M38" s="43">
        <f>J38+K38</f>
        <v>1472000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3</v>
      </c>
      <c r="E49" s="37">
        <f>E50+E51</f>
        <v>3</v>
      </c>
      <c r="F49" s="37"/>
      <c r="G49" s="37">
        <f t="shared" ref="G49:M49" si="16">G50+G51</f>
        <v>45</v>
      </c>
      <c r="H49" s="37">
        <f t="shared" si="16"/>
        <v>45</v>
      </c>
      <c r="I49" s="37">
        <f t="shared" si="16"/>
        <v>48</v>
      </c>
      <c r="J49" s="37">
        <f t="shared" si="16"/>
        <v>179200</v>
      </c>
      <c r="K49" s="37">
        <f t="shared" si="16"/>
        <v>24000</v>
      </c>
      <c r="L49" s="37">
        <f t="shared" si="16"/>
        <v>0</v>
      </c>
      <c r="M49" s="219">
        <f t="shared" si="16"/>
        <v>203200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2</v>
      </c>
      <c r="E51" s="235">
        <f t="shared" si="14"/>
        <v>2</v>
      </c>
      <c r="F51" s="235"/>
      <c r="G51" s="153">
        <f>E51*15</f>
        <v>30</v>
      </c>
      <c r="H51" s="30">
        <f>G51</f>
        <v>30</v>
      </c>
      <c r="I51" s="30">
        <f>H51+E51</f>
        <v>32</v>
      </c>
      <c r="J51" s="30">
        <f>4000*I51</f>
        <v>128000</v>
      </c>
      <c r="K51" s="30"/>
      <c r="L51" s="46"/>
      <c r="M51" s="43">
        <f>J51+K51+(L51*15000)</f>
        <v>128000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0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34</v>
      </c>
      <c r="D64" s="42">
        <f>D8+D13+D20+D22+D24+D26+D28+D31+D33+D37+D39+D44+D47+D49+D52+D54+D56+D58</f>
        <v>194</v>
      </c>
      <c r="E64" s="42">
        <f>E8+E13+E20+E22+E24+E26+E28+E31+E33+E37+E39+E44+E47+E49+E52+E54+E56+E58+E60</f>
        <v>228</v>
      </c>
      <c r="F64" s="42">
        <f>F8+F13+F28+F33+F60</f>
        <v>615</v>
      </c>
      <c r="G64" s="42">
        <f>G8+G13+G20+G22+G24+G26+G28+G31+G33+G37+G39+G44+G47+G49+G52+G54+G56+G58</f>
        <v>3285</v>
      </c>
      <c r="H64" s="42">
        <f>H8+H13+H20+H22+H24+H26+H28+H31+H33+H37+H39+H44+H47+H49+H52+H54+H56+H58+H60</f>
        <v>3900</v>
      </c>
      <c r="I64" s="42">
        <f>I8+I13+I20+I22+I24+I26+I28+I31+I33+I37+I39+I44+I47+I49+I52+I54+I56+I58+I60</f>
        <v>4136</v>
      </c>
      <c r="J64" s="42">
        <f>J8+J13+J20+J22+J24+J26+J28+J31+J33+J37+J39+J44+J47+J49+J52+J54+J56+J58</f>
        <v>14067560</v>
      </c>
      <c r="K64" s="42">
        <f>K8+K13+K20+K22+K24+K26+K28+K31+K33+K37+K39+K44+K47+K49+K52+K54+K56+K58</f>
        <v>2850600</v>
      </c>
      <c r="L64" s="50"/>
      <c r="M64" s="42">
        <f>M8+M13+M20+M22+M24+M26+M28+M31+M33+M37+M39+M44+M47+M49+M52+M54+M56+M58+M60+M65+M66</f>
        <v>17031360</v>
      </c>
    </row>
    <row r="65" spans="2:13" ht="14.25" thickTop="1" thickBot="1">
      <c r="D65" s="337"/>
      <c r="E65" s="337"/>
      <c r="J65" s="115"/>
      <c r="K65" s="149" t="s">
        <v>96</v>
      </c>
      <c r="L65" s="147">
        <v>2</v>
      </c>
      <c r="M65" s="149">
        <f>20000*L65</f>
        <v>40000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18</v>
      </c>
      <c r="D67" s="340">
        <f>C67*25000</f>
        <v>450000</v>
      </c>
      <c r="E67" s="341"/>
      <c r="F67" s="131"/>
      <c r="G67" s="145">
        <v>18</v>
      </c>
      <c r="H67" s="119"/>
      <c r="K67" s="97" t="s">
        <v>32</v>
      </c>
      <c r="L67" s="234">
        <f>L65+L66</f>
        <v>4</v>
      </c>
    </row>
    <row r="68" spans="2:13" ht="13.5" thickBot="1">
      <c r="B68" s="120" t="s">
        <v>75</v>
      </c>
      <c r="C68" s="131">
        <f t="shared" ref="C68:C74" si="20">F68+G68</f>
        <v>18</v>
      </c>
      <c r="D68" s="342">
        <f>C68*30000</f>
        <v>540000</v>
      </c>
      <c r="E68" s="343"/>
      <c r="F68" s="122">
        <v>5</v>
      </c>
      <c r="G68" s="139">
        <v>13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9</v>
      </c>
      <c r="D69" s="329">
        <f>C69*35000</f>
        <v>315000</v>
      </c>
      <c r="E69" s="330"/>
      <c r="F69" s="121">
        <v>3</v>
      </c>
      <c r="G69" s="138">
        <v>6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14</v>
      </c>
      <c r="D70" s="329">
        <f>C70*20000</f>
        <v>280000</v>
      </c>
      <c r="E70" s="330"/>
      <c r="F70" s="121">
        <v>7</v>
      </c>
      <c r="G70" s="138">
        <v>7</v>
      </c>
      <c r="H70" s="135"/>
      <c r="I70" s="97"/>
      <c r="K70" s="109" t="s">
        <v>132</v>
      </c>
      <c r="L70" s="163">
        <f>C77</f>
        <v>52</v>
      </c>
      <c r="M70" s="110">
        <f>D77</f>
        <v>1585000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109</v>
      </c>
      <c r="M71" s="112">
        <f>D78+D79</f>
        <v>1316000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51</v>
      </c>
      <c r="M72" s="114">
        <f>L72*20000</f>
        <v>1020000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55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52</v>
      </c>
      <c r="D77" s="344">
        <f>SUM(D67:E76)</f>
        <v>1585000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22</v>
      </c>
      <c r="D78" s="346">
        <v>226000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87</v>
      </c>
      <c r="D79" s="348">
        <v>1090000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dimension ref="A1:M80"/>
  <sheetViews>
    <sheetView topLeftCell="A55" workbookViewId="0">
      <selection activeCell="L73" sqref="L73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4</v>
      </c>
      <c r="E8" s="34">
        <f>SUM(E9:E12)</f>
        <v>5</v>
      </c>
      <c r="F8" s="34">
        <f>F9</f>
        <v>24</v>
      </c>
      <c r="G8" s="34">
        <f>G10+G11+G12</f>
        <v>112</v>
      </c>
      <c r="H8" s="35">
        <f>SUM(H9:H12)</f>
        <v>136</v>
      </c>
      <c r="I8" s="35">
        <f>SUM(I9:I12)</f>
        <v>142</v>
      </c>
      <c r="J8" s="35">
        <f>SUM(J9:J12)</f>
        <v>481600</v>
      </c>
      <c r="K8" s="35">
        <f>SUM(K9:K12)</f>
        <v>166400</v>
      </c>
      <c r="L8" s="34">
        <f>L9+L10+L11+L12</f>
        <v>0</v>
      </c>
      <c r="M8" s="35">
        <f>SUM(M9:M12)</f>
        <v>648000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2</v>
      </c>
      <c r="E10" s="235">
        <f>D10</f>
        <v>2</v>
      </c>
      <c r="F10" s="235"/>
      <c r="G10" s="235">
        <v>52</v>
      </c>
      <c r="H10" s="30">
        <f>G10</f>
        <v>52</v>
      </c>
      <c r="I10" s="30">
        <f>H10+E10</f>
        <v>54</v>
      </c>
      <c r="J10" s="30">
        <f>3200*I10</f>
        <v>172800</v>
      </c>
      <c r="K10" s="30">
        <f t="shared" ref="K10:K19" si="0">1600*H10</f>
        <v>83200</v>
      </c>
      <c r="L10" s="46"/>
      <c r="M10" s="43">
        <f>J10+K10</f>
        <v>256000</v>
      </c>
    </row>
    <row r="11" spans="1:13">
      <c r="A11" s="10"/>
      <c r="B11" s="1" t="s">
        <v>5</v>
      </c>
      <c r="C11" s="235"/>
      <c r="D11" s="235">
        <v>1</v>
      </c>
      <c r="E11" s="235">
        <f>D11</f>
        <v>1</v>
      </c>
      <c r="F11" s="235"/>
      <c r="G11" s="235">
        <v>28</v>
      </c>
      <c r="H11" s="30">
        <f>G11</f>
        <v>28</v>
      </c>
      <c r="I11" s="30">
        <f>H11+E11</f>
        <v>29</v>
      </c>
      <c r="J11" s="30">
        <f>3200*I11</f>
        <v>92800</v>
      </c>
      <c r="K11" s="30">
        <f t="shared" si="0"/>
        <v>44800</v>
      </c>
      <c r="L11" s="46"/>
      <c r="M11" s="43">
        <f>J11+K11</f>
        <v>137600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26</v>
      </c>
      <c r="D13" s="37">
        <f>D15+D16+D17+D18+D19</f>
        <v>29</v>
      </c>
      <c r="E13" s="37">
        <f>SUM(E14:E19)</f>
        <v>55</v>
      </c>
      <c r="F13" s="37">
        <f>F14</f>
        <v>390</v>
      </c>
      <c r="G13" s="37">
        <f>G15+G16+G17+G18+G19</f>
        <v>435</v>
      </c>
      <c r="H13" s="37">
        <f>SUM(H14:H19)</f>
        <v>825</v>
      </c>
      <c r="I13" s="37">
        <f>SUM(I14:I19)</f>
        <v>880</v>
      </c>
      <c r="J13" s="37">
        <f>SUM(J14:J19)</f>
        <v>2816000</v>
      </c>
      <c r="K13" s="37">
        <f>SUM(K14:K19)</f>
        <v>1320000</v>
      </c>
      <c r="L13" s="47">
        <f>L14+L15+L16+L17+L18+L19</f>
        <v>0</v>
      </c>
      <c r="M13" s="38">
        <f>SUM(M14:M19)</f>
        <v>4136000</v>
      </c>
    </row>
    <row r="14" spans="1:13">
      <c r="A14" s="12"/>
      <c r="B14" s="1" t="s">
        <v>3</v>
      </c>
      <c r="C14" s="235">
        <v>26</v>
      </c>
      <c r="D14" s="235"/>
      <c r="E14" s="235">
        <f>C14</f>
        <v>26</v>
      </c>
      <c r="F14" s="235">
        <f>C14*15</f>
        <v>390</v>
      </c>
      <c r="G14" s="235"/>
      <c r="H14" s="30">
        <f>F14</f>
        <v>390</v>
      </c>
      <c r="I14" s="30">
        <f t="shared" ref="I14:I19" si="1">H14+E14</f>
        <v>416</v>
      </c>
      <c r="J14" s="30">
        <f t="shared" ref="J14:J19" si="2">3200*I14</f>
        <v>1331200</v>
      </c>
      <c r="K14" s="30">
        <f t="shared" si="0"/>
        <v>624000</v>
      </c>
      <c r="L14" s="46"/>
      <c r="M14" s="43">
        <f t="shared" ref="M14:M19" si="3">J14+K14</f>
        <v>1955200</v>
      </c>
    </row>
    <row r="15" spans="1:13">
      <c r="A15" s="12"/>
      <c r="B15" s="1" t="s">
        <v>6</v>
      </c>
      <c r="C15" s="235"/>
      <c r="D15" s="235">
        <v>12</v>
      </c>
      <c r="E15" s="235">
        <f>D15</f>
        <v>12</v>
      </c>
      <c r="F15" s="235"/>
      <c r="G15" s="235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35"/>
      <c r="D16" s="235">
        <v>14</v>
      </c>
      <c r="E16" s="235">
        <f>D16</f>
        <v>14</v>
      </c>
      <c r="F16" s="235"/>
      <c r="G16" s="235">
        <f>D16*15</f>
        <v>210</v>
      </c>
      <c r="H16" s="30">
        <f>G16</f>
        <v>210</v>
      </c>
      <c r="I16" s="30">
        <f t="shared" si="1"/>
        <v>224</v>
      </c>
      <c r="J16" s="30">
        <f t="shared" si="2"/>
        <v>716800</v>
      </c>
      <c r="K16" s="30">
        <f t="shared" si="0"/>
        <v>336000</v>
      </c>
      <c r="L16" s="46"/>
      <c r="M16" s="43">
        <f t="shared" si="3"/>
        <v>1052800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90</v>
      </c>
      <c r="E20" s="37">
        <f>E21</f>
        <v>90</v>
      </c>
      <c r="F20" s="37"/>
      <c r="G20" s="37">
        <f t="shared" ref="G20:M20" si="4">G21</f>
        <v>1492</v>
      </c>
      <c r="H20" s="37">
        <f t="shared" si="4"/>
        <v>1492</v>
      </c>
      <c r="I20" s="37">
        <f t="shared" si="4"/>
        <v>1587</v>
      </c>
      <c r="J20" s="37">
        <f t="shared" si="4"/>
        <v>5078400</v>
      </c>
      <c r="K20" s="37">
        <f t="shared" si="4"/>
        <v>0</v>
      </c>
      <c r="L20" s="47">
        <f t="shared" si="4"/>
        <v>0</v>
      </c>
      <c r="M20" s="38">
        <f t="shared" si="4"/>
        <v>5078400</v>
      </c>
    </row>
    <row r="21" spans="1:13">
      <c r="A21" s="10"/>
      <c r="B21" s="24" t="s">
        <v>19</v>
      </c>
      <c r="C21" s="235"/>
      <c r="D21" s="235">
        <v>90</v>
      </c>
      <c r="E21" s="235">
        <f>D21</f>
        <v>90</v>
      </c>
      <c r="F21" s="235"/>
      <c r="G21" s="235">
        <v>1492</v>
      </c>
      <c r="H21" s="30">
        <f>G20</f>
        <v>1492</v>
      </c>
      <c r="I21" s="30">
        <v>1587</v>
      </c>
      <c r="J21" s="30">
        <f>3200*I21</f>
        <v>5078400</v>
      </c>
      <c r="K21" s="30"/>
      <c r="L21" s="46"/>
      <c r="M21" s="43">
        <f>J21+K21</f>
        <v>5078400</v>
      </c>
    </row>
    <row r="22" spans="1:13">
      <c r="A22" s="36">
        <v>4</v>
      </c>
      <c r="B22" s="33" t="s">
        <v>23</v>
      </c>
      <c r="C22" s="37"/>
      <c r="D22" s="37">
        <f>D23</f>
        <v>0</v>
      </c>
      <c r="E22" s="37">
        <f>E23</f>
        <v>0</v>
      </c>
      <c r="F22" s="37"/>
      <c r="G22" s="37">
        <f t="shared" ref="G22:M22" si="5">G23</f>
        <v>0</v>
      </c>
      <c r="H22" s="38">
        <f t="shared" si="5"/>
        <v>0</v>
      </c>
      <c r="I22" s="38">
        <f t="shared" si="5"/>
        <v>0</v>
      </c>
      <c r="J22" s="38">
        <f t="shared" si="5"/>
        <v>0</v>
      </c>
      <c r="K22" s="38">
        <f t="shared" si="5"/>
        <v>0</v>
      </c>
      <c r="L22" s="47">
        <f t="shared" si="5"/>
        <v>0</v>
      </c>
      <c r="M22" s="44">
        <f t="shared" si="5"/>
        <v>0</v>
      </c>
    </row>
    <row r="23" spans="1:13">
      <c r="A23" s="15"/>
      <c r="B23" s="3" t="s">
        <v>9</v>
      </c>
      <c r="C23" s="235"/>
      <c r="D23" s="235"/>
      <c r="E23" s="235">
        <f>D22</f>
        <v>0</v>
      </c>
      <c r="F23" s="235"/>
      <c r="G23" s="235">
        <f>E23*32</f>
        <v>0</v>
      </c>
      <c r="H23" s="30">
        <f>G22</f>
        <v>0</v>
      </c>
      <c r="I23" s="235">
        <f>H23+E23*2</f>
        <v>0</v>
      </c>
      <c r="J23" s="30">
        <f>3200*I23</f>
        <v>0</v>
      </c>
      <c r="K23" s="30">
        <f>1600*H23</f>
        <v>0</v>
      </c>
      <c r="L23" s="46"/>
      <c r="M23" s="43">
        <f>J23+K23</f>
        <v>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1</v>
      </c>
      <c r="D28" s="37">
        <f>D30</f>
        <v>7</v>
      </c>
      <c r="E28" s="37">
        <f>E29+E30</f>
        <v>8</v>
      </c>
      <c r="F28" s="37">
        <f>F29</f>
        <v>28</v>
      </c>
      <c r="G28" s="37">
        <f>G30</f>
        <v>163</v>
      </c>
      <c r="H28" s="38">
        <f t="shared" ref="H28:M28" si="8">H29+H30</f>
        <v>191</v>
      </c>
      <c r="I28" s="38">
        <f t="shared" si="8"/>
        <v>199</v>
      </c>
      <c r="J28" s="38">
        <f t="shared" si="8"/>
        <v>636800</v>
      </c>
      <c r="K28" s="38">
        <f t="shared" si="8"/>
        <v>305600</v>
      </c>
      <c r="L28" s="48">
        <f t="shared" si="8"/>
        <v>0</v>
      </c>
      <c r="M28" s="216">
        <f t="shared" si="8"/>
        <v>985600</v>
      </c>
    </row>
    <row r="29" spans="1:13">
      <c r="A29" s="12"/>
      <c r="B29" s="1" t="s">
        <v>3</v>
      </c>
      <c r="C29" s="235">
        <v>1</v>
      </c>
      <c r="D29" s="235"/>
      <c r="E29" s="235">
        <f>C29</f>
        <v>1</v>
      </c>
      <c r="F29" s="235">
        <v>28</v>
      </c>
      <c r="G29" s="235"/>
      <c r="H29" s="30">
        <f>F29</f>
        <v>28</v>
      </c>
      <c r="I29" s="30">
        <f>H29+E29</f>
        <v>29</v>
      </c>
      <c r="J29" s="30">
        <f>3200*I29</f>
        <v>92800</v>
      </c>
      <c r="K29" s="30">
        <f>1600*H29</f>
        <v>44800</v>
      </c>
      <c r="L29" s="46"/>
      <c r="M29" s="43">
        <f>J29+K29</f>
        <v>137600</v>
      </c>
    </row>
    <row r="30" spans="1:13">
      <c r="A30" s="12"/>
      <c r="B30" s="1" t="s">
        <v>11</v>
      </c>
      <c r="C30" s="235"/>
      <c r="D30" s="235">
        <v>7</v>
      </c>
      <c r="E30" s="235">
        <f>D30</f>
        <v>7</v>
      </c>
      <c r="F30" s="235"/>
      <c r="G30" s="30">
        <v>163</v>
      </c>
      <c r="H30" s="30">
        <f>G30</f>
        <v>163</v>
      </c>
      <c r="I30" s="30">
        <f>H30+E30</f>
        <v>170</v>
      </c>
      <c r="J30" s="30">
        <f>3200*I30</f>
        <v>544000</v>
      </c>
      <c r="K30" s="30">
        <f>1600*H30</f>
        <v>260800</v>
      </c>
      <c r="L30" s="46"/>
      <c r="M30" s="43">
        <f>J30+K30+M62</f>
        <v>848000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26</v>
      </c>
      <c r="E31" s="37">
        <f t="shared" si="9"/>
        <v>26</v>
      </c>
      <c r="F31" s="37">
        <f t="shared" si="9"/>
        <v>0</v>
      </c>
      <c r="G31" s="37">
        <f t="shared" si="9"/>
        <v>390</v>
      </c>
      <c r="H31" s="37">
        <f t="shared" si="9"/>
        <v>390</v>
      </c>
      <c r="I31" s="37">
        <f t="shared" si="9"/>
        <v>416</v>
      </c>
      <c r="J31" s="37">
        <f t="shared" si="9"/>
        <v>1331200</v>
      </c>
      <c r="K31" s="37">
        <f t="shared" si="9"/>
        <v>0</v>
      </c>
      <c r="L31" s="37">
        <f t="shared" si="9"/>
        <v>0</v>
      </c>
      <c r="M31" s="38">
        <f t="shared" si="9"/>
        <v>1331200</v>
      </c>
    </row>
    <row r="32" spans="1:13">
      <c r="A32" s="10"/>
      <c r="B32" s="24" t="s">
        <v>19</v>
      </c>
      <c r="C32" s="235"/>
      <c r="D32" s="235">
        <v>26</v>
      </c>
      <c r="E32" s="235">
        <f>D32</f>
        <v>26</v>
      </c>
      <c r="F32" s="235"/>
      <c r="G32" s="235">
        <f>E32*15</f>
        <v>390</v>
      </c>
      <c r="H32" s="30">
        <f>G32</f>
        <v>390</v>
      </c>
      <c r="I32" s="30">
        <f>H32+E32</f>
        <v>416</v>
      </c>
      <c r="J32" s="30">
        <f>3200*I32</f>
        <v>1331200</v>
      </c>
      <c r="K32" s="30"/>
      <c r="L32" s="46"/>
      <c r="M32" s="43">
        <f>J32+K32</f>
        <v>1331200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167</v>
      </c>
      <c r="G33" s="37">
        <f>G35+G36</f>
        <v>251</v>
      </c>
      <c r="H33" s="38">
        <f t="shared" ref="H33:M33" si="10">H34+H35+H36</f>
        <v>418</v>
      </c>
      <c r="I33" s="38">
        <f t="shared" si="10"/>
        <v>434</v>
      </c>
      <c r="J33" s="35">
        <f t="shared" si="10"/>
        <v>1440000</v>
      </c>
      <c r="K33" s="35">
        <f t="shared" si="10"/>
        <v>571200</v>
      </c>
      <c r="L33" s="47">
        <f t="shared" si="10"/>
        <v>0</v>
      </c>
      <c r="M33" s="216">
        <f t="shared" si="10"/>
        <v>2011200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167</v>
      </c>
      <c r="G34" s="235"/>
      <c r="H34" s="30">
        <f>F34</f>
        <v>167</v>
      </c>
      <c r="I34" s="30">
        <f>H34+E34</f>
        <v>173</v>
      </c>
      <c r="J34" s="30">
        <f>3200*I34</f>
        <v>553600</v>
      </c>
      <c r="K34" s="30">
        <f>1600*H34</f>
        <v>267200</v>
      </c>
      <c r="L34" s="46"/>
      <c r="M34" s="43">
        <f>J34+K34</f>
        <v>820800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190</v>
      </c>
      <c r="H35" s="30">
        <f>G35</f>
        <v>190</v>
      </c>
      <c r="I35" s="30">
        <f>H35+E35</f>
        <v>197</v>
      </c>
      <c r="J35" s="30">
        <f>3200*I35</f>
        <v>630400</v>
      </c>
      <c r="K35" s="30">
        <f>1600*H35</f>
        <v>304000</v>
      </c>
      <c r="L35" s="46"/>
      <c r="M35" s="43">
        <f>J35+K35+M63</f>
        <v>934400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25</v>
      </c>
      <c r="E37" s="37">
        <f>E38</f>
        <v>25</v>
      </c>
      <c r="F37" s="37"/>
      <c r="G37" s="37">
        <f t="shared" ref="G37:M37" si="11">G38</f>
        <v>375</v>
      </c>
      <c r="H37" s="38">
        <f t="shared" si="11"/>
        <v>375</v>
      </c>
      <c r="I37" s="38">
        <f t="shared" si="11"/>
        <v>400</v>
      </c>
      <c r="J37" s="38">
        <f t="shared" si="11"/>
        <v>1600000</v>
      </c>
      <c r="K37" s="38">
        <f t="shared" si="11"/>
        <v>0</v>
      </c>
      <c r="L37" s="48">
        <f t="shared" si="11"/>
        <v>0</v>
      </c>
      <c r="M37" s="216">
        <f t="shared" si="11"/>
        <v>1600000</v>
      </c>
    </row>
    <row r="38" spans="1:13">
      <c r="A38" s="13"/>
      <c r="B38" s="96" t="s">
        <v>128</v>
      </c>
      <c r="C38" s="235"/>
      <c r="D38" s="235">
        <v>25</v>
      </c>
      <c r="E38" s="235">
        <f>D38</f>
        <v>25</v>
      </c>
      <c r="F38" s="235"/>
      <c r="G38" s="235">
        <f>E38*15</f>
        <v>375</v>
      </c>
      <c r="H38" s="30">
        <f>G38</f>
        <v>375</v>
      </c>
      <c r="I38" s="30">
        <f>H38+E38</f>
        <v>400</v>
      </c>
      <c r="J38" s="30">
        <f>4000*I38</f>
        <v>1600000</v>
      </c>
      <c r="K38" s="30"/>
      <c r="L38" s="46"/>
      <c r="M38" s="43">
        <f>J38+K38</f>
        <v>1600000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4</v>
      </c>
      <c r="E49" s="37">
        <f>E50+E51</f>
        <v>4</v>
      </c>
      <c r="F49" s="37"/>
      <c r="G49" s="37">
        <f t="shared" ref="G49:M49" si="16">G50+G51</f>
        <v>60</v>
      </c>
      <c r="H49" s="37">
        <f t="shared" si="16"/>
        <v>60</v>
      </c>
      <c r="I49" s="37">
        <f t="shared" si="16"/>
        <v>64</v>
      </c>
      <c r="J49" s="37">
        <f t="shared" si="16"/>
        <v>243200</v>
      </c>
      <c r="K49" s="37">
        <f t="shared" si="16"/>
        <v>24000</v>
      </c>
      <c r="L49" s="37">
        <f t="shared" si="16"/>
        <v>0</v>
      </c>
      <c r="M49" s="219">
        <f t="shared" si="16"/>
        <v>267200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3</v>
      </c>
      <c r="E51" s="235">
        <f t="shared" si="14"/>
        <v>3</v>
      </c>
      <c r="F51" s="235"/>
      <c r="G51" s="153">
        <f>E51*15</f>
        <v>45</v>
      </c>
      <c r="H51" s="30">
        <f>G51</f>
        <v>45</v>
      </c>
      <c r="I51" s="30">
        <f>H51+E51</f>
        <v>48</v>
      </c>
      <c r="J51" s="30">
        <f>4000*I51</f>
        <v>192000</v>
      </c>
      <c r="K51" s="30"/>
      <c r="L51" s="46"/>
      <c r="M51" s="43">
        <f>J51+K51+(L51*15000)</f>
        <v>192000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85</v>
      </c>
      <c r="H58" s="170">
        <f>H59</f>
        <v>85</v>
      </c>
      <c r="I58" s="170">
        <f>I59</f>
        <v>89</v>
      </c>
      <c r="J58" s="170">
        <f>J59</f>
        <v>436880</v>
      </c>
      <c r="K58" s="170">
        <f>K59</f>
        <v>240500</v>
      </c>
      <c r="L58" s="81">
        <f>L59+L63</f>
        <v>0</v>
      </c>
      <c r="M58" s="217">
        <f>M59</f>
        <v>677380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85</v>
      </c>
      <c r="H59" s="31">
        <f>G59</f>
        <v>85</v>
      </c>
      <c r="I59" s="31">
        <f>H59+E59*2</f>
        <v>89</v>
      </c>
      <c r="J59" s="79">
        <v>436880</v>
      </c>
      <c r="K59" s="31">
        <v>240500</v>
      </c>
      <c r="L59" s="49"/>
      <c r="M59" s="80">
        <f>J59+K59</f>
        <v>677380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34</v>
      </c>
      <c r="D64" s="42">
        <f>D8+D13+D20+D22+D24+D26+D28+D31+D33+D37+D39+D44+D47+D49+D52+D54+D56+D58</f>
        <v>201</v>
      </c>
      <c r="E64" s="42">
        <f>E8+E13+E20+E22+E24+E26+E28+E31+E33+E37+E39+E44+E47+E49+E52+E54+E56+E58+E60</f>
        <v>235</v>
      </c>
      <c r="F64" s="42">
        <f>F8+F13+F28+F33+F60</f>
        <v>609</v>
      </c>
      <c r="G64" s="42">
        <f>G8+G13+G20+G22+G24+G26+G28+G31+G33+G37+G39+G44+G47+G49+G52+G54+G56+G58</f>
        <v>3537</v>
      </c>
      <c r="H64" s="42">
        <f>H8+H13+H20+H22+H24+H26+H28+H31+H33+H37+H39+H44+H47+H49+H52+H54+H56+H58+H60</f>
        <v>4146</v>
      </c>
      <c r="I64" s="42">
        <f>I8+I13+I20+I22+I24+I26+I28+I31+I33+I37+I39+I44+I47+I49+I52+I54+I56+I58+I60</f>
        <v>4393</v>
      </c>
      <c r="J64" s="42">
        <f>J8+J13+J20+J22+J24+J26+J28+J31+J33+J37+J39+J44+J47+J49+J52+J54+J56+J58</f>
        <v>14897840</v>
      </c>
      <c r="K64" s="42">
        <f>K8+K13+K20+K22+K24+K26+K28+K31+K33+K37+K39+K44+K47+K49+K52+K54+K56+K58</f>
        <v>2893700</v>
      </c>
      <c r="L64" s="50"/>
      <c r="M64" s="42">
        <f>M8+M13+M20+M22+M24+M26+M28+M31+M33+M37+M39+M44+M47+M49+M52+M54+M56+M58+M60+M65+M66</f>
        <v>17864740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16</v>
      </c>
      <c r="D67" s="340">
        <f>C67*25000</f>
        <v>400000</v>
      </c>
      <c r="E67" s="341"/>
      <c r="F67" s="131">
        <v>0</v>
      </c>
      <c r="G67" s="145">
        <v>16</v>
      </c>
      <c r="H67" s="119"/>
      <c r="K67" s="97" t="s">
        <v>32</v>
      </c>
      <c r="L67" s="234">
        <f>L65+L66</f>
        <v>2</v>
      </c>
    </row>
    <row r="68" spans="2:13" ht="13.5" thickBot="1">
      <c r="B68" s="120" t="s">
        <v>75</v>
      </c>
      <c r="C68" s="131">
        <f t="shared" ref="C68:C74" si="20">F68+G68</f>
        <v>14</v>
      </c>
      <c r="D68" s="342">
        <f>C68*30000</f>
        <v>420000</v>
      </c>
      <c r="E68" s="343"/>
      <c r="F68" s="122">
        <v>3</v>
      </c>
      <c r="G68" s="139">
        <v>11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19</v>
      </c>
      <c r="D69" s="329">
        <f>C69*35000</f>
        <v>665000</v>
      </c>
      <c r="E69" s="330"/>
      <c r="F69" s="121">
        <v>15</v>
      </c>
      <c r="G69" s="138">
        <v>4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21</v>
      </c>
      <c r="D70" s="329">
        <f>C70*20000</f>
        <v>420000</v>
      </c>
      <c r="E70" s="330"/>
      <c r="F70" s="121">
        <v>11</v>
      </c>
      <c r="G70" s="138">
        <v>10</v>
      </c>
      <c r="H70" s="135"/>
      <c r="I70" s="97"/>
      <c r="K70" s="109" t="s">
        <v>132</v>
      </c>
      <c r="L70" s="163">
        <f>C77</f>
        <v>59.5</v>
      </c>
      <c r="M70" s="110">
        <f>D77</f>
        <v>1905000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137</v>
      </c>
      <c r="M71" s="112">
        <f>D78+D79</f>
        <v>1494000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47</v>
      </c>
      <c r="M72" s="114">
        <f>L72*20000</f>
        <v>940000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49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J75">
        <f>47*4300+42*5590</f>
        <v>436880</v>
      </c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>
        <f>45*2500+40*3200</f>
        <v>240500</v>
      </c>
    </row>
    <row r="77" spans="2:13" ht="14.25" thickTop="1" thickBot="1">
      <c r="B77" s="132" t="s">
        <v>54</v>
      </c>
      <c r="C77" s="160">
        <f>C67+C68+C69+(C70/2)+C71+(C72/2)+C73+(C74/2)+C75+C76</f>
        <v>59.5</v>
      </c>
      <c r="D77" s="344">
        <f>SUM(D67:E76)</f>
        <v>1905000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28</v>
      </c>
      <c r="D78" s="346">
        <v>324000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109</v>
      </c>
      <c r="D79" s="348">
        <v>1170000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6:E76"/>
    <mergeCell ref="D77:E77"/>
    <mergeCell ref="D71:E71"/>
    <mergeCell ref="D72:E72"/>
    <mergeCell ref="D73:E73"/>
    <mergeCell ref="D74:E74"/>
    <mergeCell ref="D75:E75"/>
    <mergeCell ref="D66:E66"/>
    <mergeCell ref="D67:E67"/>
    <mergeCell ref="D68:E68"/>
    <mergeCell ref="D69:E69"/>
    <mergeCell ref="D70:E70"/>
    <mergeCell ref="D65:E65"/>
    <mergeCell ref="D78:E78"/>
    <mergeCell ref="D79:E79"/>
    <mergeCell ref="A1:C1"/>
    <mergeCell ref="D1:M1"/>
    <mergeCell ref="A2:C2"/>
    <mergeCell ref="D2:M2"/>
    <mergeCell ref="A3:C3"/>
    <mergeCell ref="A4:M4"/>
    <mergeCell ref="A5:M5"/>
    <mergeCell ref="C6:E6"/>
    <mergeCell ref="F6:I6"/>
    <mergeCell ref="J6:J7"/>
    <mergeCell ref="K6:K7"/>
    <mergeCell ref="L6:L7"/>
    <mergeCell ref="M6:M7"/>
  </mergeCells>
  <phoneticPr fontId="9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dimension ref="A1:M80"/>
  <sheetViews>
    <sheetView topLeftCell="A49" workbookViewId="0">
      <selection activeCell="I66" sqref="I66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16</v>
      </c>
      <c r="E8" s="34">
        <f>SUM(E9:E12)</f>
        <v>17</v>
      </c>
      <c r="F8" s="34">
        <f>F9</f>
        <v>24</v>
      </c>
      <c r="G8" s="34">
        <f>G10+G11+G12</f>
        <v>446</v>
      </c>
      <c r="H8" s="35">
        <f>SUM(H9:H12)</f>
        <v>470</v>
      </c>
      <c r="I8" s="35">
        <f>SUM(I9:I12)</f>
        <v>488</v>
      </c>
      <c r="J8" s="35">
        <f>SUM(J9:J12)</f>
        <v>1588800</v>
      </c>
      <c r="K8" s="35">
        <f>SUM(K9:K12)</f>
        <v>700800</v>
      </c>
      <c r="L8" s="34">
        <f>L9+L10+L11+L12</f>
        <v>0</v>
      </c>
      <c r="M8" s="35">
        <f>SUM(M9:M12)</f>
        <v>2289600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15</v>
      </c>
      <c r="E10" s="235">
        <f>D10</f>
        <v>15</v>
      </c>
      <c r="F10" s="235"/>
      <c r="G10" s="235">
        <v>414</v>
      </c>
      <c r="H10" s="30">
        <f>G10</f>
        <v>414</v>
      </c>
      <c r="I10" s="30">
        <f>H10+E10</f>
        <v>429</v>
      </c>
      <c r="J10" s="30">
        <f>3200*I10</f>
        <v>1372800</v>
      </c>
      <c r="K10" s="30">
        <f t="shared" ref="K10:K19" si="0">1600*H10</f>
        <v>662400</v>
      </c>
      <c r="L10" s="46"/>
      <c r="M10" s="43">
        <f>J10+K10</f>
        <v>2035200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39</v>
      </c>
      <c r="D13" s="37">
        <f>D15+D16+D17+D18+D19</f>
        <v>33</v>
      </c>
      <c r="E13" s="37">
        <f>SUM(E14:E19)</f>
        <v>72</v>
      </c>
      <c r="F13" s="37">
        <f>F14</f>
        <v>585</v>
      </c>
      <c r="G13" s="37">
        <f>G15+G16+G17+G18+G19</f>
        <v>495</v>
      </c>
      <c r="H13" s="37">
        <f>SUM(H14:H19)</f>
        <v>1080</v>
      </c>
      <c r="I13" s="37">
        <f>SUM(I14:I19)</f>
        <v>1152</v>
      </c>
      <c r="J13" s="37">
        <f>SUM(J14:J19)</f>
        <v>3686400</v>
      </c>
      <c r="K13" s="37">
        <f>SUM(K14:K19)</f>
        <v>1728000</v>
      </c>
      <c r="L13" s="47">
        <f>L14+L15+L16+L17+L18+L19</f>
        <v>0</v>
      </c>
      <c r="M13" s="38">
        <f>SUM(M14:M19)</f>
        <v>5414400</v>
      </c>
    </row>
    <row r="14" spans="1:13">
      <c r="A14" s="12"/>
      <c r="B14" s="1" t="s">
        <v>3</v>
      </c>
      <c r="C14" s="235">
        <v>39</v>
      </c>
      <c r="D14" s="235"/>
      <c r="E14" s="235">
        <f>C14</f>
        <v>39</v>
      </c>
      <c r="F14" s="235">
        <f>C14*15</f>
        <v>585</v>
      </c>
      <c r="G14" s="235"/>
      <c r="H14" s="30">
        <f>F14</f>
        <v>585</v>
      </c>
      <c r="I14" s="30">
        <f t="shared" ref="I14:I19" si="1">H14+E14</f>
        <v>624</v>
      </c>
      <c r="J14" s="30">
        <f t="shared" ref="J14:J19" si="2">3200*I14</f>
        <v>1996800</v>
      </c>
      <c r="K14" s="30">
        <f t="shared" si="0"/>
        <v>936000</v>
      </c>
      <c r="L14" s="46"/>
      <c r="M14" s="43">
        <f t="shared" ref="M14:M19" si="3">J14+K14</f>
        <v>2932800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19</v>
      </c>
      <c r="E16" s="235">
        <f>D16</f>
        <v>19</v>
      </c>
      <c r="F16" s="235"/>
      <c r="G16" s="235">
        <f>D16*15</f>
        <v>285</v>
      </c>
      <c r="H16" s="30">
        <f>G16</f>
        <v>285</v>
      </c>
      <c r="I16" s="30">
        <f t="shared" si="1"/>
        <v>304</v>
      </c>
      <c r="J16" s="30">
        <f t="shared" si="2"/>
        <v>972800</v>
      </c>
      <c r="K16" s="30">
        <f t="shared" si="0"/>
        <v>456000</v>
      </c>
      <c r="L16" s="46"/>
      <c r="M16" s="43">
        <f t="shared" si="3"/>
        <v>1428800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120</v>
      </c>
      <c r="E20" s="37">
        <f>E21</f>
        <v>120</v>
      </c>
      <c r="F20" s="37"/>
      <c r="G20" s="37">
        <f t="shared" ref="G20:M20" si="4">G21</f>
        <v>2054</v>
      </c>
      <c r="H20" s="37">
        <f t="shared" si="4"/>
        <v>2054</v>
      </c>
      <c r="I20" s="37">
        <f t="shared" si="4"/>
        <v>2183</v>
      </c>
      <c r="J20" s="37">
        <f t="shared" si="4"/>
        <v>6985600</v>
      </c>
      <c r="K20" s="37">
        <f t="shared" si="4"/>
        <v>0</v>
      </c>
      <c r="L20" s="47">
        <f t="shared" si="4"/>
        <v>0</v>
      </c>
      <c r="M20" s="38">
        <f t="shared" si="4"/>
        <v>6985600</v>
      </c>
    </row>
    <row r="21" spans="1:13">
      <c r="A21" s="10"/>
      <c r="B21" s="24" t="s">
        <v>19</v>
      </c>
      <c r="C21" s="235"/>
      <c r="D21" s="235">
        <v>120</v>
      </c>
      <c r="E21" s="235">
        <f>D21</f>
        <v>120</v>
      </c>
      <c r="F21" s="235"/>
      <c r="G21" s="235">
        <v>2054</v>
      </c>
      <c r="H21" s="30">
        <f>G20</f>
        <v>2054</v>
      </c>
      <c r="I21" s="30">
        <v>2183</v>
      </c>
      <c r="J21" s="30">
        <f>3200*I21</f>
        <v>6985600</v>
      </c>
      <c r="K21" s="30"/>
      <c r="L21" s="46"/>
      <c r="M21" s="43">
        <f>J21+K21</f>
        <v>6985600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5</v>
      </c>
      <c r="E28" s="37">
        <f>E29+E30</f>
        <v>8</v>
      </c>
      <c r="F28" s="37">
        <f>F29</f>
        <v>76</v>
      </c>
      <c r="G28" s="37">
        <f>G30</f>
        <v>128</v>
      </c>
      <c r="H28" s="38">
        <f t="shared" ref="H28:M28" si="8">H29+H30</f>
        <v>204</v>
      </c>
      <c r="I28" s="38">
        <f t="shared" si="8"/>
        <v>212</v>
      </c>
      <c r="J28" s="38">
        <f t="shared" si="8"/>
        <v>678400</v>
      </c>
      <c r="K28" s="38">
        <f t="shared" si="8"/>
        <v>326400</v>
      </c>
      <c r="L28" s="48">
        <f t="shared" si="8"/>
        <v>0</v>
      </c>
      <c r="M28" s="216">
        <f t="shared" si="8"/>
        <v>1004800</v>
      </c>
    </row>
    <row r="29" spans="1:13">
      <c r="A29" s="12"/>
      <c r="B29" s="1" t="s">
        <v>3</v>
      </c>
      <c r="C29" s="235">
        <v>3</v>
      </c>
      <c r="D29" s="235"/>
      <c r="E29" s="235">
        <f>C29</f>
        <v>3</v>
      </c>
      <c r="F29" s="235">
        <v>76</v>
      </c>
      <c r="G29" s="235"/>
      <c r="H29" s="30">
        <f>F29</f>
        <v>76</v>
      </c>
      <c r="I29" s="30">
        <f>H29+E29</f>
        <v>79</v>
      </c>
      <c r="J29" s="30">
        <f>3200*I29</f>
        <v>252800</v>
      </c>
      <c r="K29" s="30">
        <f>1600*H29</f>
        <v>121600</v>
      </c>
      <c r="L29" s="46"/>
      <c r="M29" s="43">
        <f>J29+K29</f>
        <v>374400</v>
      </c>
    </row>
    <row r="30" spans="1:13">
      <c r="A30" s="12"/>
      <c r="B30" s="1" t="s">
        <v>11</v>
      </c>
      <c r="C30" s="235"/>
      <c r="D30" s="235">
        <v>5</v>
      </c>
      <c r="E30" s="235">
        <f>D30</f>
        <v>5</v>
      </c>
      <c r="F30" s="235"/>
      <c r="G30" s="30">
        <v>128</v>
      </c>
      <c r="H30" s="30">
        <f>G30</f>
        <v>128</v>
      </c>
      <c r="I30" s="30">
        <f>H30+E30</f>
        <v>133</v>
      </c>
      <c r="J30" s="30">
        <f>3200*I30</f>
        <v>425600</v>
      </c>
      <c r="K30" s="30">
        <f>1600*H30</f>
        <v>204800</v>
      </c>
      <c r="L30" s="46"/>
      <c r="M30" s="43">
        <f>J30+K30+M62</f>
        <v>630400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27</v>
      </c>
      <c r="E31" s="37">
        <f t="shared" si="9"/>
        <v>27</v>
      </c>
      <c r="F31" s="37">
        <f t="shared" si="9"/>
        <v>0</v>
      </c>
      <c r="G31" s="37">
        <f t="shared" si="9"/>
        <v>405</v>
      </c>
      <c r="H31" s="37">
        <f t="shared" si="9"/>
        <v>405</v>
      </c>
      <c r="I31" s="37">
        <f t="shared" si="9"/>
        <v>432</v>
      </c>
      <c r="J31" s="37">
        <f t="shared" si="9"/>
        <v>1382400</v>
      </c>
      <c r="K31" s="37">
        <f t="shared" si="9"/>
        <v>0</v>
      </c>
      <c r="L31" s="37">
        <f t="shared" si="9"/>
        <v>0</v>
      </c>
      <c r="M31" s="38">
        <f t="shared" si="9"/>
        <v>1382400</v>
      </c>
    </row>
    <row r="32" spans="1:13">
      <c r="A32" s="10"/>
      <c r="B32" s="24" t="s">
        <v>19</v>
      </c>
      <c r="C32" s="235"/>
      <c r="D32" s="235">
        <v>27</v>
      </c>
      <c r="E32" s="235">
        <f>D32</f>
        <v>27</v>
      </c>
      <c r="F32" s="235"/>
      <c r="G32" s="235">
        <f>E32*15</f>
        <v>405</v>
      </c>
      <c r="H32" s="30">
        <f>G32</f>
        <v>405</v>
      </c>
      <c r="I32" s="30">
        <f>H32+E32</f>
        <v>432</v>
      </c>
      <c r="J32" s="30">
        <f>3200*I32</f>
        <v>1382400</v>
      </c>
      <c r="K32" s="30"/>
      <c r="L32" s="46"/>
      <c r="M32" s="43">
        <f>J32+K32</f>
        <v>1382400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159</v>
      </c>
      <c r="G33" s="37">
        <f>G35+G36</f>
        <v>256</v>
      </c>
      <c r="H33" s="38">
        <f t="shared" ref="H33:M33" si="10">H34+H35+H36</f>
        <v>415</v>
      </c>
      <c r="I33" s="38">
        <f t="shared" si="10"/>
        <v>432</v>
      </c>
      <c r="J33" s="35">
        <f t="shared" si="10"/>
        <v>1433600</v>
      </c>
      <c r="K33" s="35">
        <f t="shared" si="10"/>
        <v>566400</v>
      </c>
      <c r="L33" s="47">
        <f t="shared" si="10"/>
        <v>0</v>
      </c>
      <c r="M33" s="216">
        <f t="shared" si="10"/>
        <v>2000000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159</v>
      </c>
      <c r="G34" s="235"/>
      <c r="H34" s="30">
        <f>F34</f>
        <v>159</v>
      </c>
      <c r="I34" s="30">
        <f>H34+E34</f>
        <v>165</v>
      </c>
      <c r="J34" s="30">
        <f>3200*I34</f>
        <v>528000</v>
      </c>
      <c r="K34" s="30">
        <f>1600*H34</f>
        <v>254400</v>
      </c>
      <c r="L34" s="46"/>
      <c r="M34" s="43">
        <f>J34+K34</f>
        <v>782400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195</v>
      </c>
      <c r="H35" s="30">
        <f>G35</f>
        <v>195</v>
      </c>
      <c r="I35" s="30">
        <v>203</v>
      </c>
      <c r="J35" s="30">
        <f>3200*I35</f>
        <v>649600</v>
      </c>
      <c r="K35" s="30">
        <f>1600*H35</f>
        <v>312000</v>
      </c>
      <c r="L35" s="46"/>
      <c r="M35" s="43">
        <f>J35+K35+M63</f>
        <v>961600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27</v>
      </c>
      <c r="E37" s="37">
        <f>E38</f>
        <v>27</v>
      </c>
      <c r="F37" s="37"/>
      <c r="G37" s="37">
        <f t="shared" ref="G37:M37" si="11">G38</f>
        <v>405</v>
      </c>
      <c r="H37" s="38">
        <f t="shared" si="11"/>
        <v>405</v>
      </c>
      <c r="I37" s="38">
        <f t="shared" si="11"/>
        <v>432</v>
      </c>
      <c r="J37" s="38">
        <f t="shared" si="11"/>
        <v>1728000</v>
      </c>
      <c r="K37" s="38">
        <f t="shared" si="11"/>
        <v>0</v>
      </c>
      <c r="L37" s="48">
        <f t="shared" si="11"/>
        <v>0</v>
      </c>
      <c r="M37" s="216">
        <f t="shared" si="11"/>
        <v>1728000</v>
      </c>
    </row>
    <row r="38" spans="1:13">
      <c r="A38" s="13"/>
      <c r="B38" s="96" t="s">
        <v>128</v>
      </c>
      <c r="C38" s="235"/>
      <c r="D38" s="235">
        <v>27</v>
      </c>
      <c r="E38" s="235">
        <f>D38</f>
        <v>27</v>
      </c>
      <c r="F38" s="235"/>
      <c r="G38" s="235">
        <f>E38*15</f>
        <v>405</v>
      </c>
      <c r="H38" s="30">
        <f>G38</f>
        <v>405</v>
      </c>
      <c r="I38" s="30">
        <f>H38+E38</f>
        <v>432</v>
      </c>
      <c r="J38" s="30">
        <f>4000*I38</f>
        <v>1728000</v>
      </c>
      <c r="K38" s="30"/>
      <c r="L38" s="46"/>
      <c r="M38" s="43">
        <f>J38+K38</f>
        <v>1728000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4</v>
      </c>
      <c r="E49" s="37">
        <f>E50+E51</f>
        <v>4</v>
      </c>
      <c r="F49" s="37"/>
      <c r="G49" s="37">
        <f t="shared" ref="G49:M49" si="16">G50+G51</f>
        <v>73</v>
      </c>
      <c r="H49" s="37">
        <f t="shared" si="16"/>
        <v>73</v>
      </c>
      <c r="I49" s="37">
        <f t="shared" si="16"/>
        <v>77</v>
      </c>
      <c r="J49" s="37">
        <f t="shared" si="16"/>
        <v>284800</v>
      </c>
      <c r="K49" s="37">
        <f t="shared" si="16"/>
        <v>44800</v>
      </c>
      <c r="L49" s="37">
        <f t="shared" si="16"/>
        <v>0</v>
      </c>
      <c r="M49" s="219">
        <f t="shared" si="16"/>
        <v>329600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35"/>
      <c r="D51" s="235">
        <v>3</v>
      </c>
      <c r="E51" s="235">
        <f t="shared" si="14"/>
        <v>3</v>
      </c>
      <c r="F51" s="235"/>
      <c r="G51" s="153">
        <f>E51*15</f>
        <v>45</v>
      </c>
      <c r="H51" s="30">
        <f>G51</f>
        <v>45</v>
      </c>
      <c r="I51" s="30">
        <f>H51+E51</f>
        <v>48</v>
      </c>
      <c r="J51" s="30">
        <f>4000*I51</f>
        <v>192000</v>
      </c>
      <c r="K51" s="30"/>
      <c r="L51" s="46"/>
      <c r="M51" s="43">
        <f>J51+K51+(L51*15000)</f>
        <v>192000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2</v>
      </c>
      <c r="E52" s="37">
        <f t="shared" si="17"/>
        <v>2</v>
      </c>
      <c r="F52" s="37">
        <f t="shared" si="17"/>
        <v>0</v>
      </c>
      <c r="G52" s="37">
        <f t="shared" si="17"/>
        <v>86</v>
      </c>
      <c r="H52" s="37">
        <f t="shared" si="17"/>
        <v>86</v>
      </c>
      <c r="I52" s="38">
        <f t="shared" si="17"/>
        <v>90</v>
      </c>
      <c r="J52" s="38">
        <f t="shared" si="17"/>
        <v>503100</v>
      </c>
      <c r="K52" s="38">
        <f t="shared" si="17"/>
        <v>275200</v>
      </c>
      <c r="L52" s="48">
        <f t="shared" si="17"/>
        <v>0</v>
      </c>
      <c r="M52" s="44">
        <f t="shared" si="17"/>
        <v>778300</v>
      </c>
    </row>
    <row r="53" spans="1:13">
      <c r="A53" s="14"/>
      <c r="B53" s="96" t="s">
        <v>215</v>
      </c>
      <c r="C53" s="29"/>
      <c r="D53" s="29">
        <v>2</v>
      </c>
      <c r="E53" s="29">
        <f>D53</f>
        <v>2</v>
      </c>
      <c r="F53" s="29"/>
      <c r="G53" s="29">
        <v>86</v>
      </c>
      <c r="H53" s="31">
        <f>G53</f>
        <v>86</v>
      </c>
      <c r="I53" s="31">
        <f>H53+E53*2</f>
        <v>90</v>
      </c>
      <c r="J53" s="30">
        <f>5590*I53</f>
        <v>503100</v>
      </c>
      <c r="K53" s="30">
        <f>3200*H53</f>
        <v>275200</v>
      </c>
      <c r="L53" s="49"/>
      <c r="M53" s="43">
        <f>J53+K53</f>
        <v>778300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0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49</v>
      </c>
      <c r="D64" s="42">
        <f>D8+D13+D20+D22+D24+D26+D28+D31+D33+D37+D39+D44+D47+D49+D52+D54+D56+D58</f>
        <v>251</v>
      </c>
      <c r="E64" s="42">
        <f>E8+E13+E20+E22+E24+E26+E28+E31+E33+E37+E39+E44+E47+E49+E52+E54+E56+E58+E60</f>
        <v>300</v>
      </c>
      <c r="F64" s="42">
        <f>F8+F13+F28+F33+F60</f>
        <v>844</v>
      </c>
      <c r="G64" s="42">
        <f>G8+G13+G20+G22+G24+G26+G28+G31+G33+G37+G39+G44+G47+G49+G52+G54+G56+G58</f>
        <v>4626</v>
      </c>
      <c r="H64" s="42">
        <f>H8+H13+H20+H22+H24+H26+H28+H31+H33+H37+H39+H44+H47+H49+H52+H54+H56+H58+H60</f>
        <v>5470</v>
      </c>
      <c r="I64" s="42">
        <f>I8+I13+I20+I22+I24+I26+I28+I31+I33+I37+I39+I44+I47+I49+I52+I54+I56+I58+I60</f>
        <v>5789</v>
      </c>
      <c r="J64" s="42">
        <f>J8+J13+J20+J22+J24+J26+J28+J31+J33+J37+J39+J44+J47+J49+J52+J54+J56+J58</f>
        <v>19536160</v>
      </c>
      <c r="K64" s="42">
        <f>K8+K13+K20+K22+K24+K26+K28+K31+K33+K37+K39+K44+K47+K49+K52+K54+K56+K58</f>
        <v>4138800</v>
      </c>
      <c r="L64" s="50"/>
      <c r="M64" s="42">
        <f>M8+M13+M20+M22+M24+M26+M28+M31+M33+M37+M39+M44+M47+M49+M52+M54+M56+M58+M60+M65+M66</f>
        <v>23704960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/>
      <c r="G67" s="145">
        <v>14</v>
      </c>
      <c r="H67" s="119"/>
      <c r="K67" s="97" t="s">
        <v>32</v>
      </c>
      <c r="L67" s="234">
        <f>L65+L66</f>
        <v>2</v>
      </c>
    </row>
    <row r="68" spans="2:13" ht="13.5" thickBot="1">
      <c r="B68" s="120" t="s">
        <v>75</v>
      </c>
      <c r="C68" s="131">
        <f t="shared" ref="C68:C74" si="20">F68+G68</f>
        <v>14</v>
      </c>
      <c r="D68" s="342">
        <f>C68*30000</f>
        <v>420000</v>
      </c>
      <c r="E68" s="343"/>
      <c r="F68" s="122">
        <v>5</v>
      </c>
      <c r="G68" s="139">
        <v>9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9</v>
      </c>
      <c r="D69" s="329">
        <f>C69*35000</f>
        <v>315000</v>
      </c>
      <c r="E69" s="330"/>
      <c r="F69" s="121">
        <v>7</v>
      </c>
      <c r="G69" s="138">
        <v>2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13</v>
      </c>
      <c r="D70" s="329">
        <f>C70*20000</f>
        <v>260000</v>
      </c>
      <c r="E70" s="330"/>
      <c r="F70" s="121">
        <v>7</v>
      </c>
      <c r="G70" s="138">
        <v>6</v>
      </c>
      <c r="H70" s="135"/>
      <c r="I70" s="97"/>
      <c r="K70" s="109" t="s">
        <v>132</v>
      </c>
      <c r="L70" s="163">
        <f>C77</f>
        <v>44.5</v>
      </c>
      <c r="M70" s="110">
        <f>D77</f>
        <v>1380840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135</v>
      </c>
      <c r="M71" s="112">
        <f>D78+D79</f>
        <v>1507000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48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1</v>
      </c>
      <c r="D75" s="329">
        <f>16*2240</f>
        <v>35840</v>
      </c>
      <c r="E75" s="330"/>
      <c r="F75" s="121">
        <v>1</v>
      </c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44.5</v>
      </c>
      <c r="D77" s="344">
        <f>SUM(D67:E76)</f>
        <v>1380840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48</v>
      </c>
      <c r="D78" s="346">
        <v>530000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87</v>
      </c>
      <c r="D79" s="348">
        <v>977000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K6:K7"/>
    <mergeCell ref="L6:L7"/>
    <mergeCell ref="M6:M7"/>
    <mergeCell ref="C6:E6"/>
    <mergeCell ref="F6:I6"/>
    <mergeCell ref="J6:J7"/>
    <mergeCell ref="D1:M1"/>
    <mergeCell ref="D2:M2"/>
    <mergeCell ref="A4:M4"/>
    <mergeCell ref="A5:M5"/>
    <mergeCell ref="A1:C1"/>
    <mergeCell ref="A2:C2"/>
    <mergeCell ref="A3:C3"/>
    <mergeCell ref="D68:E68"/>
    <mergeCell ref="D69:E69"/>
    <mergeCell ref="D70:E70"/>
    <mergeCell ref="D71:E71"/>
    <mergeCell ref="D65:E65"/>
    <mergeCell ref="D66:E66"/>
    <mergeCell ref="D67:E67"/>
    <mergeCell ref="D78:E78"/>
    <mergeCell ref="D79:E79"/>
    <mergeCell ref="D76:E76"/>
    <mergeCell ref="D77:E77"/>
    <mergeCell ref="D72:E72"/>
    <mergeCell ref="D73:E73"/>
    <mergeCell ref="D74:E74"/>
    <mergeCell ref="D75:E75"/>
  </mergeCells>
  <phoneticPr fontId="9" type="noConversion"/>
  <pageMargins left="0.31" right="0.08" top="0.34" bottom="0.45" header="0.21" footer="0.23"/>
  <pageSetup orientation="landscape" horizontalDpi="300" verticalDpi="300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dimension ref="A1:M80"/>
  <sheetViews>
    <sheetView topLeftCell="A60" workbookViewId="0">
      <selection activeCell="L73" sqref="L73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3</v>
      </c>
      <c r="D8" s="34">
        <f>D10+D11+D12</f>
        <v>19</v>
      </c>
      <c r="E8" s="34">
        <f>SUM(E9:E12)</f>
        <v>22</v>
      </c>
      <c r="F8" s="34">
        <f>F9</f>
        <v>72</v>
      </c>
      <c r="G8" s="34">
        <f>G10+G11+G12</f>
        <v>527</v>
      </c>
      <c r="H8" s="35">
        <f>SUM(H9:H12)</f>
        <v>599</v>
      </c>
      <c r="I8" s="35">
        <f>SUM(I9:I12)</f>
        <v>622</v>
      </c>
      <c r="J8" s="35">
        <f>SUM(J9:J12)</f>
        <v>2017600</v>
      </c>
      <c r="K8" s="35">
        <f>SUM(K9:K12)</f>
        <v>907200</v>
      </c>
      <c r="L8" s="34">
        <f>L9+L10+L11+L12</f>
        <v>0</v>
      </c>
      <c r="M8" s="35">
        <f>SUM(M9:M12)</f>
        <v>2924800</v>
      </c>
    </row>
    <row r="9" spans="1:13">
      <c r="A9" s="8"/>
      <c r="B9" s="1" t="s">
        <v>3</v>
      </c>
      <c r="C9" s="235">
        <v>3</v>
      </c>
      <c r="D9" s="235"/>
      <c r="E9" s="235">
        <f>C9</f>
        <v>3</v>
      </c>
      <c r="F9" s="235">
        <f>E9*24</f>
        <v>72</v>
      </c>
      <c r="G9" s="235"/>
      <c r="H9" s="30">
        <f>F9</f>
        <v>72</v>
      </c>
      <c r="I9" s="30">
        <f>H9+E9</f>
        <v>75</v>
      </c>
      <c r="J9" s="30">
        <f>3200*I9</f>
        <v>240000</v>
      </c>
      <c r="K9" s="30">
        <f>1600*H9</f>
        <v>115200</v>
      </c>
      <c r="L9" s="46"/>
      <c r="M9" s="43">
        <f>J9+K9</f>
        <v>355200</v>
      </c>
    </row>
    <row r="10" spans="1:13">
      <c r="A10" s="9"/>
      <c r="B10" s="1" t="s">
        <v>6</v>
      </c>
      <c r="C10" s="235"/>
      <c r="D10" s="235">
        <v>16</v>
      </c>
      <c r="E10" s="235">
        <f>D10</f>
        <v>16</v>
      </c>
      <c r="F10" s="235"/>
      <c r="G10" s="235">
        <v>439</v>
      </c>
      <c r="H10" s="30">
        <f>G10</f>
        <v>439</v>
      </c>
      <c r="I10" s="30">
        <f>H10+E10</f>
        <v>455</v>
      </c>
      <c r="J10" s="30">
        <f>3200*I10</f>
        <v>1456000</v>
      </c>
      <c r="K10" s="30">
        <f t="shared" ref="K10:K19" si="0">1600*H10</f>
        <v>702400</v>
      </c>
      <c r="L10" s="46"/>
      <c r="M10" s="43">
        <f>J10+K10</f>
        <v>2158400</v>
      </c>
    </row>
    <row r="11" spans="1:13">
      <c r="A11" s="10"/>
      <c r="B11" s="1" t="s">
        <v>5</v>
      </c>
      <c r="C11" s="235"/>
      <c r="D11" s="235">
        <v>2</v>
      </c>
      <c r="E11" s="235">
        <f>D11</f>
        <v>2</v>
      </c>
      <c r="F11" s="235"/>
      <c r="G11" s="235">
        <v>56</v>
      </c>
      <c r="H11" s="30">
        <f>G11</f>
        <v>56</v>
      </c>
      <c r="I11" s="30">
        <f>H11+E11</f>
        <v>58</v>
      </c>
      <c r="J11" s="30">
        <f>3200*I11</f>
        <v>185600</v>
      </c>
      <c r="K11" s="30">
        <f t="shared" si="0"/>
        <v>89600</v>
      </c>
      <c r="L11" s="46"/>
      <c r="M11" s="43">
        <f>J11+K11</f>
        <v>275200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40</v>
      </c>
      <c r="D13" s="37">
        <f>D15+D16+D17+D18+D19</f>
        <v>33</v>
      </c>
      <c r="E13" s="37">
        <f>SUM(E14:E19)</f>
        <v>73</v>
      </c>
      <c r="F13" s="37">
        <f>F14</f>
        <v>600</v>
      </c>
      <c r="G13" s="37">
        <f>G15+G16+G17+G18+G19</f>
        <v>495</v>
      </c>
      <c r="H13" s="37">
        <f>SUM(H14:H19)</f>
        <v>1095</v>
      </c>
      <c r="I13" s="37">
        <f>SUM(I14:I19)</f>
        <v>1168</v>
      </c>
      <c r="J13" s="37">
        <f>SUM(J14:J19)</f>
        <v>3737600</v>
      </c>
      <c r="K13" s="37">
        <f>SUM(K14:K19)</f>
        <v>1752000</v>
      </c>
      <c r="L13" s="47">
        <f>L14+L15+L16+L17+L18+L19</f>
        <v>0</v>
      </c>
      <c r="M13" s="38">
        <f>SUM(M14:M19)</f>
        <v>5489600</v>
      </c>
    </row>
    <row r="14" spans="1:13">
      <c r="A14" s="12"/>
      <c r="B14" s="1" t="s">
        <v>3</v>
      </c>
      <c r="C14" s="235">
        <v>40</v>
      </c>
      <c r="D14" s="235"/>
      <c r="E14" s="235">
        <f>C14</f>
        <v>40</v>
      </c>
      <c r="F14" s="235">
        <f>C14*15</f>
        <v>600</v>
      </c>
      <c r="G14" s="235"/>
      <c r="H14" s="30">
        <f>F14</f>
        <v>600</v>
      </c>
      <c r="I14" s="30">
        <f t="shared" ref="I14:I19" si="1">H14+E14</f>
        <v>640</v>
      </c>
      <c r="J14" s="30">
        <f t="shared" ref="J14:J19" si="2">3200*I14</f>
        <v>2048000</v>
      </c>
      <c r="K14" s="30">
        <f t="shared" si="0"/>
        <v>960000</v>
      </c>
      <c r="L14" s="46"/>
      <c r="M14" s="43">
        <f t="shared" ref="M14:M19" si="3">J14+K14</f>
        <v>3008000</v>
      </c>
    </row>
    <row r="15" spans="1:13">
      <c r="A15" s="12"/>
      <c r="B15" s="1" t="s">
        <v>6</v>
      </c>
      <c r="C15" s="235"/>
      <c r="D15" s="235">
        <v>12</v>
      </c>
      <c r="E15" s="235">
        <f>D15</f>
        <v>12</v>
      </c>
      <c r="F15" s="235"/>
      <c r="G15" s="235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35"/>
      <c r="D16" s="235">
        <v>18</v>
      </c>
      <c r="E16" s="235">
        <f>D16</f>
        <v>18</v>
      </c>
      <c r="F16" s="235"/>
      <c r="G16" s="235">
        <f>D16*15</f>
        <v>270</v>
      </c>
      <c r="H16" s="30">
        <f>G16</f>
        <v>270</v>
      </c>
      <c r="I16" s="30">
        <f t="shared" si="1"/>
        <v>288</v>
      </c>
      <c r="J16" s="30">
        <f t="shared" si="2"/>
        <v>921600</v>
      </c>
      <c r="K16" s="30">
        <f t="shared" si="0"/>
        <v>432000</v>
      </c>
      <c r="L16" s="46"/>
      <c r="M16" s="43">
        <f t="shared" si="3"/>
        <v>1353600</v>
      </c>
    </row>
    <row r="17" spans="1:13">
      <c r="A17" s="12"/>
      <c r="B17" s="2" t="s">
        <v>7</v>
      </c>
      <c r="C17" s="235"/>
      <c r="D17" s="235">
        <v>1</v>
      </c>
      <c r="E17" s="235">
        <f>D17</f>
        <v>1</v>
      </c>
      <c r="F17" s="235"/>
      <c r="G17" s="235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120</v>
      </c>
      <c r="E20" s="37">
        <f>E21</f>
        <v>120</v>
      </c>
      <c r="F20" s="37"/>
      <c r="G20" s="37">
        <f t="shared" ref="G20:M20" si="4">G21</f>
        <v>2076</v>
      </c>
      <c r="H20" s="37">
        <f t="shared" si="4"/>
        <v>2076</v>
      </c>
      <c r="I20" s="37">
        <f t="shared" si="4"/>
        <v>2206</v>
      </c>
      <c r="J20" s="37">
        <f t="shared" si="4"/>
        <v>7059200</v>
      </c>
      <c r="K20" s="37">
        <f t="shared" si="4"/>
        <v>0</v>
      </c>
      <c r="L20" s="47">
        <f t="shared" si="4"/>
        <v>0</v>
      </c>
      <c r="M20" s="38">
        <f t="shared" si="4"/>
        <v>7059200</v>
      </c>
    </row>
    <row r="21" spans="1:13">
      <c r="A21" s="10"/>
      <c r="B21" s="24" t="s">
        <v>19</v>
      </c>
      <c r="C21" s="235"/>
      <c r="D21" s="235">
        <v>120</v>
      </c>
      <c r="E21" s="235">
        <f>D21</f>
        <v>120</v>
      </c>
      <c r="F21" s="235"/>
      <c r="G21" s="235">
        <v>2076</v>
      </c>
      <c r="H21" s="30">
        <f>G20</f>
        <v>2076</v>
      </c>
      <c r="I21" s="30">
        <v>2206</v>
      </c>
      <c r="J21" s="30">
        <f>3200*I21</f>
        <v>7059200</v>
      </c>
      <c r="K21" s="30"/>
      <c r="L21" s="46"/>
      <c r="M21" s="43">
        <f>J21+K21</f>
        <v>7059200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2</v>
      </c>
      <c r="D28" s="37">
        <f>D30</f>
        <v>6</v>
      </c>
      <c r="E28" s="37">
        <f>E29+E30</f>
        <v>8</v>
      </c>
      <c r="F28" s="37">
        <f>F29</f>
        <v>48</v>
      </c>
      <c r="G28" s="37">
        <f>G30</f>
        <v>152</v>
      </c>
      <c r="H28" s="38">
        <f t="shared" ref="H28:M28" si="8">H29+H30</f>
        <v>200</v>
      </c>
      <c r="I28" s="38">
        <f t="shared" si="8"/>
        <v>208</v>
      </c>
      <c r="J28" s="38">
        <f t="shared" si="8"/>
        <v>665600</v>
      </c>
      <c r="K28" s="38">
        <f t="shared" si="8"/>
        <v>320000</v>
      </c>
      <c r="L28" s="48">
        <f t="shared" si="8"/>
        <v>0</v>
      </c>
      <c r="M28" s="216">
        <f t="shared" si="8"/>
        <v>985600</v>
      </c>
    </row>
    <row r="29" spans="1:13">
      <c r="A29" s="12"/>
      <c r="B29" s="1" t="s">
        <v>3</v>
      </c>
      <c r="C29" s="235">
        <v>2</v>
      </c>
      <c r="D29" s="235"/>
      <c r="E29" s="235">
        <f>C29</f>
        <v>2</v>
      </c>
      <c r="F29" s="235">
        <v>48</v>
      </c>
      <c r="G29" s="235"/>
      <c r="H29" s="30">
        <f>F29</f>
        <v>48</v>
      </c>
      <c r="I29" s="30">
        <f>H29+E29</f>
        <v>50</v>
      </c>
      <c r="J29" s="30">
        <f>3200*I29</f>
        <v>160000</v>
      </c>
      <c r="K29" s="30">
        <f>1600*H29</f>
        <v>76800</v>
      </c>
      <c r="L29" s="46"/>
      <c r="M29" s="43">
        <f>J29+K29</f>
        <v>236800</v>
      </c>
    </row>
    <row r="30" spans="1:13">
      <c r="A30" s="12"/>
      <c r="B30" s="1" t="s">
        <v>11</v>
      </c>
      <c r="C30" s="235"/>
      <c r="D30" s="235">
        <v>6</v>
      </c>
      <c r="E30" s="235">
        <f>D30</f>
        <v>6</v>
      </c>
      <c r="F30" s="235"/>
      <c r="G30" s="30">
        <v>152</v>
      </c>
      <c r="H30" s="30">
        <f>G30</f>
        <v>152</v>
      </c>
      <c r="I30" s="30">
        <f>H30+E30</f>
        <v>158</v>
      </c>
      <c r="J30" s="30">
        <f>3200*I30</f>
        <v>505600</v>
      </c>
      <c r="K30" s="30">
        <f>1600*H30</f>
        <v>243200</v>
      </c>
      <c r="L30" s="46"/>
      <c r="M30" s="43">
        <f>J30+K30+M62</f>
        <v>748800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29</v>
      </c>
      <c r="E31" s="37">
        <f t="shared" si="9"/>
        <v>29</v>
      </c>
      <c r="F31" s="37">
        <f t="shared" si="9"/>
        <v>0</v>
      </c>
      <c r="G31" s="37">
        <f t="shared" si="9"/>
        <v>435</v>
      </c>
      <c r="H31" s="37">
        <f t="shared" si="9"/>
        <v>435</v>
      </c>
      <c r="I31" s="37">
        <f t="shared" si="9"/>
        <v>464</v>
      </c>
      <c r="J31" s="37">
        <f t="shared" si="9"/>
        <v>1484800</v>
      </c>
      <c r="K31" s="37">
        <f t="shared" si="9"/>
        <v>0</v>
      </c>
      <c r="L31" s="37">
        <f t="shared" si="9"/>
        <v>0</v>
      </c>
      <c r="M31" s="38">
        <f t="shared" si="9"/>
        <v>1484800</v>
      </c>
    </row>
    <row r="32" spans="1:13">
      <c r="A32" s="10"/>
      <c r="B32" s="24" t="s">
        <v>19</v>
      </c>
      <c r="C32" s="235"/>
      <c r="D32" s="235">
        <v>29</v>
      </c>
      <c r="E32" s="235">
        <f>D32</f>
        <v>29</v>
      </c>
      <c r="F32" s="235"/>
      <c r="G32" s="235">
        <f>E32*15</f>
        <v>435</v>
      </c>
      <c r="H32" s="30">
        <f>G32</f>
        <v>435</v>
      </c>
      <c r="I32" s="30">
        <f>H32+E32</f>
        <v>464</v>
      </c>
      <c r="J32" s="30">
        <f>3200*I32</f>
        <v>1484800</v>
      </c>
      <c r="K32" s="30"/>
      <c r="L32" s="46"/>
      <c r="M32" s="43">
        <f>J32+K32</f>
        <v>1484800</v>
      </c>
    </row>
    <row r="33" spans="1:13">
      <c r="A33" s="36">
        <v>9</v>
      </c>
      <c r="B33" s="33" t="s">
        <v>27</v>
      </c>
      <c r="C33" s="37">
        <f>C34</f>
        <v>10</v>
      </c>
      <c r="D33" s="37">
        <f>D35+D36</f>
        <v>10</v>
      </c>
      <c r="E33" s="37">
        <f>E34+E35+E36</f>
        <v>20</v>
      </c>
      <c r="F33" s="37">
        <f>F34</f>
        <v>263</v>
      </c>
      <c r="G33" s="37">
        <f>G35+G36</f>
        <v>273</v>
      </c>
      <c r="H33" s="38">
        <f t="shared" ref="H33:M33" si="10">H34+H35+H36</f>
        <v>536</v>
      </c>
      <c r="I33" s="38">
        <f t="shared" si="10"/>
        <v>558</v>
      </c>
      <c r="J33" s="35">
        <f t="shared" si="10"/>
        <v>1836800</v>
      </c>
      <c r="K33" s="35">
        <f t="shared" si="10"/>
        <v>760000</v>
      </c>
      <c r="L33" s="47">
        <f t="shared" si="10"/>
        <v>0</v>
      </c>
      <c r="M33" s="216">
        <f t="shared" si="10"/>
        <v>2640000</v>
      </c>
    </row>
    <row r="34" spans="1:13">
      <c r="A34" s="12"/>
      <c r="B34" s="1" t="s">
        <v>3</v>
      </c>
      <c r="C34" s="235">
        <v>10</v>
      </c>
      <c r="D34" s="235"/>
      <c r="E34" s="235">
        <f>C34</f>
        <v>10</v>
      </c>
      <c r="F34" s="235">
        <v>263</v>
      </c>
      <c r="G34" s="235"/>
      <c r="H34" s="30">
        <f>F34</f>
        <v>263</v>
      </c>
      <c r="I34" s="30">
        <f>H34+E34</f>
        <v>273</v>
      </c>
      <c r="J34" s="30">
        <f>3200*I34</f>
        <v>873600</v>
      </c>
      <c r="K34" s="30">
        <f>1600*H34</f>
        <v>420800</v>
      </c>
      <c r="L34" s="46"/>
      <c r="M34" s="43">
        <f>J34+K34</f>
        <v>1294400</v>
      </c>
    </row>
    <row r="35" spans="1:13">
      <c r="A35" s="13"/>
      <c r="B35" s="1" t="s">
        <v>12</v>
      </c>
      <c r="C35" s="235"/>
      <c r="D35" s="235">
        <v>8</v>
      </c>
      <c r="E35" s="235">
        <f>D35</f>
        <v>8</v>
      </c>
      <c r="F35" s="235"/>
      <c r="G35" s="235">
        <v>212</v>
      </c>
      <c r="H35" s="30">
        <f>G35</f>
        <v>212</v>
      </c>
      <c r="I35" s="30">
        <v>221</v>
      </c>
      <c r="J35" s="30">
        <f>3200*I35</f>
        <v>707200</v>
      </c>
      <c r="K35" s="30">
        <f>1600*H35</f>
        <v>339200</v>
      </c>
      <c r="L35" s="46"/>
      <c r="M35" s="43">
        <f>J35+K35+M63</f>
        <v>1089600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28</v>
      </c>
      <c r="E37" s="37">
        <f>E38</f>
        <v>28</v>
      </c>
      <c r="F37" s="37"/>
      <c r="G37" s="37">
        <f t="shared" ref="G37:M37" si="11">G38</f>
        <v>420</v>
      </c>
      <c r="H37" s="38">
        <f t="shared" si="11"/>
        <v>420</v>
      </c>
      <c r="I37" s="38">
        <f t="shared" si="11"/>
        <v>448</v>
      </c>
      <c r="J37" s="38">
        <f t="shared" si="11"/>
        <v>1792000</v>
      </c>
      <c r="K37" s="38">
        <f t="shared" si="11"/>
        <v>0</v>
      </c>
      <c r="L37" s="48">
        <f t="shared" si="11"/>
        <v>0</v>
      </c>
      <c r="M37" s="216">
        <f t="shared" si="11"/>
        <v>1792000</v>
      </c>
    </row>
    <row r="38" spans="1:13">
      <c r="A38" s="13"/>
      <c r="B38" s="96" t="s">
        <v>128</v>
      </c>
      <c r="C38" s="235"/>
      <c r="D38" s="235">
        <v>28</v>
      </c>
      <c r="E38" s="235">
        <f>D38</f>
        <v>28</v>
      </c>
      <c r="F38" s="235"/>
      <c r="G38" s="235">
        <f>E38*15</f>
        <v>420</v>
      </c>
      <c r="H38" s="30">
        <f>G38</f>
        <v>420</v>
      </c>
      <c r="I38" s="30">
        <f>H38+E38</f>
        <v>448</v>
      </c>
      <c r="J38" s="30">
        <f>4000*I38</f>
        <v>1792000</v>
      </c>
      <c r="K38" s="30"/>
      <c r="L38" s="46"/>
      <c r="M38" s="43">
        <f>J38+K38</f>
        <v>1792000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35"/>
      <c r="D48" s="235">
        <v>1</v>
      </c>
      <c r="E48" s="235">
        <f t="shared" si="14"/>
        <v>1</v>
      </c>
      <c r="F48" s="235"/>
      <c r="G48" s="235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4</v>
      </c>
      <c r="E49" s="37">
        <f>E50+E51</f>
        <v>4</v>
      </c>
      <c r="F49" s="37"/>
      <c r="G49" s="37">
        <f t="shared" ref="G49:M49" si="16">G50+G51</f>
        <v>60</v>
      </c>
      <c r="H49" s="37">
        <f t="shared" si="16"/>
        <v>60</v>
      </c>
      <c r="I49" s="37">
        <f t="shared" si="16"/>
        <v>64</v>
      </c>
      <c r="J49" s="37">
        <f t="shared" si="16"/>
        <v>243200</v>
      </c>
      <c r="K49" s="37">
        <f t="shared" si="16"/>
        <v>24000</v>
      </c>
      <c r="L49" s="37">
        <f t="shared" si="16"/>
        <v>0</v>
      </c>
      <c r="M49" s="219">
        <f t="shared" si="16"/>
        <v>267200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3</v>
      </c>
      <c r="E51" s="235">
        <f t="shared" si="14"/>
        <v>3</v>
      </c>
      <c r="F51" s="235"/>
      <c r="G51" s="153">
        <f>E51*15</f>
        <v>45</v>
      </c>
      <c r="H51" s="30">
        <f>G51</f>
        <v>45</v>
      </c>
      <c r="I51" s="30">
        <f>H51+E51</f>
        <v>48</v>
      </c>
      <c r="J51" s="30">
        <f>4000*I51</f>
        <v>192000</v>
      </c>
      <c r="K51" s="30"/>
      <c r="L51" s="46"/>
      <c r="M51" s="43">
        <f>J51+K51+(L51*15000)</f>
        <v>192000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1</v>
      </c>
      <c r="E52" s="37">
        <f t="shared" si="17"/>
        <v>1</v>
      </c>
      <c r="F52" s="37">
        <f t="shared" si="17"/>
        <v>0</v>
      </c>
      <c r="G52" s="37">
        <f t="shared" si="17"/>
        <v>38</v>
      </c>
      <c r="H52" s="37">
        <f t="shared" si="17"/>
        <v>38</v>
      </c>
      <c r="I52" s="38">
        <f t="shared" si="17"/>
        <v>40</v>
      </c>
      <c r="J52" s="38">
        <f t="shared" si="17"/>
        <v>223600</v>
      </c>
      <c r="K52" s="38">
        <f t="shared" si="17"/>
        <v>121600</v>
      </c>
      <c r="L52" s="48">
        <f t="shared" si="17"/>
        <v>0</v>
      </c>
      <c r="M52" s="44">
        <f t="shared" si="17"/>
        <v>345200</v>
      </c>
    </row>
    <row r="53" spans="1:13">
      <c r="A53" s="14"/>
      <c r="B53" s="96" t="s">
        <v>215</v>
      </c>
      <c r="C53" s="29"/>
      <c r="D53" s="29">
        <v>1</v>
      </c>
      <c r="E53" s="29">
        <f>D53</f>
        <v>1</v>
      </c>
      <c r="F53" s="29"/>
      <c r="G53" s="29">
        <v>38</v>
      </c>
      <c r="H53" s="31">
        <f>G53</f>
        <v>38</v>
      </c>
      <c r="I53" s="31">
        <f>H53+E53*2</f>
        <v>40</v>
      </c>
      <c r="J53" s="30">
        <f>5590*I53</f>
        <v>223600</v>
      </c>
      <c r="K53" s="30">
        <f>3200*H53</f>
        <v>121600</v>
      </c>
      <c r="L53" s="49"/>
      <c r="M53" s="43">
        <f>J53+K53</f>
        <v>345200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2</v>
      </c>
      <c r="E58" s="81">
        <f>E59</f>
        <v>2</v>
      </c>
      <c r="F58" s="81"/>
      <c r="G58" s="81">
        <f>G59</f>
        <v>84</v>
      </c>
      <c r="H58" s="170">
        <f>H59</f>
        <v>84</v>
      </c>
      <c r="I58" s="170">
        <f>I59</f>
        <v>88</v>
      </c>
      <c r="J58" s="170">
        <f>J59</f>
        <v>432580</v>
      </c>
      <c r="K58" s="170">
        <f>K59</f>
        <v>238000</v>
      </c>
      <c r="L58" s="81">
        <f>L59+L63</f>
        <v>1</v>
      </c>
      <c r="M58" s="217">
        <f>M59</f>
        <v>670580</v>
      </c>
    </row>
    <row r="59" spans="1:13">
      <c r="A59" s="14"/>
      <c r="B59" s="236" t="s">
        <v>234</v>
      </c>
      <c r="C59" s="29"/>
      <c r="D59" s="29">
        <v>2</v>
      </c>
      <c r="E59" s="29">
        <f>D58</f>
        <v>2</v>
      </c>
      <c r="F59" s="29"/>
      <c r="G59" s="29">
        <v>84</v>
      </c>
      <c r="H59" s="31">
        <f>G59</f>
        <v>84</v>
      </c>
      <c r="I59" s="31">
        <f>H59+E59*2</f>
        <v>88</v>
      </c>
      <c r="J59" s="79">
        <v>432580</v>
      </c>
      <c r="K59" s="31">
        <v>238000</v>
      </c>
      <c r="L59" s="49"/>
      <c r="M59" s="80">
        <f>J59+K59</f>
        <v>670580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55</v>
      </c>
      <c r="D64" s="42">
        <f>D8+D13+D20+D22+D24+D26+D28+D31+D33+D37+D39+D44+D47+D49+D52+D54+D56+D58</f>
        <v>259</v>
      </c>
      <c r="E64" s="42">
        <f>E8+E13+E20+E22+E24+E26+E28+E31+E33+E37+E39+E44+E47+E49+E52+E54+E56+E58+E60</f>
        <v>314</v>
      </c>
      <c r="F64" s="42">
        <f>F8+F13+F28+F33+F60</f>
        <v>983</v>
      </c>
      <c r="G64" s="42">
        <f>G8+G13+G20+G22+G24+G26+G28+G31+G33+G37+G39+G44+G47+G49+G52+G54+G56+G58</f>
        <v>4796</v>
      </c>
      <c r="H64" s="42">
        <f>H8+H13+H20+H22+H24+H26+H28+H31+H33+H37+H39+H44+H47+H49+H52+H54+H56+H58+H60</f>
        <v>5779</v>
      </c>
      <c r="I64" s="42">
        <f>I8+I13+I20+I22+I24+I26+I28+I31+I33+I37+I39+I44+I47+I49+I52+I54+I56+I58+I60</f>
        <v>6113</v>
      </c>
      <c r="J64" s="42">
        <f>J8+J13+J20+J22+J24+J26+J28+J31+J33+J37+J39+J44+J47+J49+J52+J54+J56+J58</f>
        <v>20566640</v>
      </c>
      <c r="K64" s="42">
        <f>K8+K13+K20+K22+K24+K26+K28+K31+K33+K37+K39+K44+K47+K49+K52+K54+K56+K58</f>
        <v>4513200</v>
      </c>
      <c r="L64" s="50"/>
      <c r="M64" s="42">
        <f>M8+M13+M20+M22+M24+M26+M28+M31+M33+M37+M39+M44+M47+M49+M52+M54+M56+M58+M60+M65+M66</f>
        <v>25183040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4</v>
      </c>
      <c r="M66" s="150">
        <f>15000*L66</f>
        <v>60000</v>
      </c>
    </row>
    <row r="67" spans="2:13">
      <c r="B67" s="144" t="s">
        <v>74</v>
      </c>
      <c r="C67" s="131">
        <f>F67+G67</f>
        <v>15</v>
      </c>
      <c r="D67" s="340">
        <f>C67*25000</f>
        <v>375000</v>
      </c>
      <c r="E67" s="341"/>
      <c r="F67" s="131">
        <v>0</v>
      </c>
      <c r="G67" s="145">
        <v>15</v>
      </c>
      <c r="H67" s="119"/>
      <c r="K67" s="97" t="s">
        <v>32</v>
      </c>
      <c r="L67" s="234">
        <f>L65+L66</f>
        <v>4</v>
      </c>
    </row>
    <row r="68" spans="2:13" ht="13.5" thickBot="1">
      <c r="B68" s="120" t="s">
        <v>75</v>
      </c>
      <c r="C68" s="131">
        <f t="shared" ref="C68:C74" si="20">F68+G68</f>
        <v>9</v>
      </c>
      <c r="D68" s="342">
        <f>C68*30000</f>
        <v>270000</v>
      </c>
      <c r="E68" s="343"/>
      <c r="F68" s="122">
        <v>5</v>
      </c>
      <c r="G68" s="139">
        <v>4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18</v>
      </c>
      <c r="D69" s="329">
        <f>C69*35000</f>
        <v>630000</v>
      </c>
      <c r="E69" s="330"/>
      <c r="F69" s="121">
        <v>14</v>
      </c>
      <c r="G69" s="138">
        <v>4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11</v>
      </c>
      <c r="D70" s="329">
        <f>C70*20000</f>
        <v>220000</v>
      </c>
      <c r="E70" s="330"/>
      <c r="F70" s="121">
        <v>8</v>
      </c>
      <c r="G70" s="138">
        <v>3</v>
      </c>
      <c r="H70" s="135"/>
      <c r="I70" s="97"/>
      <c r="K70" s="109" t="s">
        <v>132</v>
      </c>
      <c r="L70" s="163">
        <f>C77</f>
        <v>48.5</v>
      </c>
      <c r="M70" s="110">
        <f>D77</f>
        <v>1559960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83</v>
      </c>
      <c r="M71" s="112">
        <f>D78+D79</f>
        <v>844000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44</v>
      </c>
      <c r="M72" s="114">
        <f>L72*20000</f>
        <v>880000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48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1</v>
      </c>
      <c r="D75" s="329">
        <f>64960</f>
        <v>64960</v>
      </c>
      <c r="E75" s="330"/>
      <c r="F75" s="121">
        <v>1</v>
      </c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>
        <f>42*5590+4300*46</f>
        <v>432580</v>
      </c>
    </row>
    <row r="77" spans="2:13" ht="14.25" thickTop="1" thickBot="1">
      <c r="B77" s="132" t="s">
        <v>54</v>
      </c>
      <c r="C77" s="160">
        <f>C67+C68+C69+(C70/2)+C71+(C72/2)+C73+(C74/2)+C75+C76</f>
        <v>48.5</v>
      </c>
      <c r="D77" s="344">
        <f>SUM(D67:E76)</f>
        <v>1559960</v>
      </c>
      <c r="E77" s="345"/>
      <c r="F77" s="133"/>
      <c r="G77" s="134"/>
      <c r="H77" s="119"/>
      <c r="J77">
        <f>40*3200+44*2500</f>
        <v>238000</v>
      </c>
    </row>
    <row r="78" spans="2:13" ht="13.5" thickTop="1">
      <c r="B78" s="129" t="s">
        <v>144</v>
      </c>
      <c r="C78" s="131">
        <v>30</v>
      </c>
      <c r="D78" s="346">
        <v>308000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53</v>
      </c>
      <c r="D79" s="348">
        <v>536000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2:E72"/>
    <mergeCell ref="D73:E73"/>
    <mergeCell ref="D74:E74"/>
    <mergeCell ref="D75:E75"/>
    <mergeCell ref="D76:E76"/>
    <mergeCell ref="D1:M1"/>
    <mergeCell ref="D2:M2"/>
    <mergeCell ref="A4:M4"/>
    <mergeCell ref="A5:M5"/>
    <mergeCell ref="A1:C1"/>
    <mergeCell ref="A2:C2"/>
    <mergeCell ref="A3:C3"/>
    <mergeCell ref="D78:E78"/>
    <mergeCell ref="D79:E79"/>
    <mergeCell ref="K6:K7"/>
    <mergeCell ref="L6:L7"/>
    <mergeCell ref="M6:M7"/>
    <mergeCell ref="C6:E6"/>
    <mergeCell ref="F6:I6"/>
    <mergeCell ref="J6:J7"/>
    <mergeCell ref="D71:E71"/>
    <mergeCell ref="D65:E65"/>
    <mergeCell ref="D66:E66"/>
    <mergeCell ref="D67:E67"/>
    <mergeCell ref="D68:E68"/>
    <mergeCell ref="D69:E69"/>
    <mergeCell ref="D70:E70"/>
    <mergeCell ref="D77:E77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>
  <dimension ref="A1:M80"/>
  <sheetViews>
    <sheetView workbookViewId="0">
      <selection sqref="A1:M79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0</v>
      </c>
      <c r="D8" s="34">
        <f>D10+D11+D12</f>
        <v>0</v>
      </c>
      <c r="E8" s="34">
        <f>SUM(E9:E12)</f>
        <v>0</v>
      </c>
      <c r="F8" s="34">
        <f>F9</f>
        <v>0</v>
      </c>
      <c r="G8" s="34">
        <f>G10+G11+G12</f>
        <v>0</v>
      </c>
      <c r="H8" s="35">
        <f>SUM(H9:H12)</f>
        <v>0</v>
      </c>
      <c r="I8" s="35">
        <f>SUM(I9:I12)</f>
        <v>0</v>
      </c>
      <c r="J8" s="35">
        <f>SUM(J9:J12)</f>
        <v>0</v>
      </c>
      <c r="K8" s="35">
        <f>SUM(K9:K12)</f>
        <v>0</v>
      </c>
      <c r="L8" s="34">
        <f>L9+L10+L11+L12</f>
        <v>0</v>
      </c>
      <c r="M8" s="35">
        <f>SUM(M9:M12)</f>
        <v>0</v>
      </c>
    </row>
    <row r="9" spans="1:13">
      <c r="A9" s="8"/>
      <c r="B9" s="1" t="s">
        <v>3</v>
      </c>
      <c r="C9" s="235"/>
      <c r="D9" s="235"/>
      <c r="E9" s="235">
        <f>C9</f>
        <v>0</v>
      </c>
      <c r="F9" s="235">
        <f>E9*24</f>
        <v>0</v>
      </c>
      <c r="G9" s="235"/>
      <c r="H9" s="30">
        <f>F9</f>
        <v>0</v>
      </c>
      <c r="I9" s="30">
        <f>H9+E9</f>
        <v>0</v>
      </c>
      <c r="J9" s="30">
        <f>3200*I9</f>
        <v>0</v>
      </c>
      <c r="K9" s="30">
        <f>1600*H9</f>
        <v>0</v>
      </c>
      <c r="L9" s="46"/>
      <c r="M9" s="43">
        <f>J9+K9</f>
        <v>0</v>
      </c>
    </row>
    <row r="10" spans="1:13">
      <c r="A10" s="9"/>
      <c r="B10" s="1" t="s">
        <v>6</v>
      </c>
      <c r="C10" s="235"/>
      <c r="D10" s="235"/>
      <c r="E10" s="235">
        <f>D10</f>
        <v>0</v>
      </c>
      <c r="F10" s="235"/>
      <c r="G10" s="235"/>
      <c r="H10" s="30">
        <f>G10</f>
        <v>0</v>
      </c>
      <c r="I10" s="30">
        <f>H10+E10</f>
        <v>0</v>
      </c>
      <c r="J10" s="30">
        <f>3200*I10</f>
        <v>0</v>
      </c>
      <c r="K10" s="30">
        <f t="shared" ref="K10:K19" si="0">1600*H10</f>
        <v>0</v>
      </c>
      <c r="L10" s="46"/>
      <c r="M10" s="43">
        <f>J10+K10</f>
        <v>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/>
      <c r="E12" s="235">
        <f>D12</f>
        <v>0</v>
      </c>
      <c r="F12" s="235"/>
      <c r="G12" s="235">
        <f>E12*32</f>
        <v>0</v>
      </c>
      <c r="H12" s="30">
        <f>G12</f>
        <v>0</v>
      </c>
      <c r="I12" s="30">
        <f>H12+E12*2</f>
        <v>0</v>
      </c>
      <c r="J12" s="30">
        <f>4000*I12</f>
        <v>0</v>
      </c>
      <c r="K12" s="30"/>
      <c r="L12" s="46"/>
      <c r="M12" s="43">
        <f>J12+K12</f>
        <v>0</v>
      </c>
    </row>
    <row r="13" spans="1:13">
      <c r="A13" s="36">
        <v>2</v>
      </c>
      <c r="B13" s="33" t="s">
        <v>21</v>
      </c>
      <c r="C13" s="37">
        <f>C14</f>
        <v>0</v>
      </c>
      <c r="D13" s="37">
        <f>D15+D16+D17+D18+D19</f>
        <v>0</v>
      </c>
      <c r="E13" s="37">
        <f>SUM(E14:E19)</f>
        <v>0</v>
      </c>
      <c r="F13" s="37">
        <f>F14</f>
        <v>0</v>
      </c>
      <c r="G13" s="37">
        <f>G15+G16+G17+G18+G19</f>
        <v>0</v>
      </c>
      <c r="H13" s="37">
        <f>SUM(H14:H19)</f>
        <v>0</v>
      </c>
      <c r="I13" s="37">
        <f>SUM(I14:I19)</f>
        <v>0</v>
      </c>
      <c r="J13" s="37">
        <f>SUM(J14:J19)</f>
        <v>0</v>
      </c>
      <c r="K13" s="37">
        <f>SUM(K14:K19)</f>
        <v>0</v>
      </c>
      <c r="L13" s="47">
        <f>L14+L15+L16+L17+L18+L19</f>
        <v>0</v>
      </c>
      <c r="M13" s="38">
        <f>SUM(M14:M19)</f>
        <v>0</v>
      </c>
    </row>
    <row r="14" spans="1:13">
      <c r="A14" s="12"/>
      <c r="B14" s="1" t="s">
        <v>3</v>
      </c>
      <c r="C14" s="235"/>
      <c r="D14" s="235"/>
      <c r="E14" s="235">
        <f>C14</f>
        <v>0</v>
      </c>
      <c r="F14" s="235">
        <f>C14*15</f>
        <v>0</v>
      </c>
      <c r="G14" s="235"/>
      <c r="H14" s="30">
        <f>F14</f>
        <v>0</v>
      </c>
      <c r="I14" s="30">
        <f t="shared" ref="I14:I19" si="1">H14+E14</f>
        <v>0</v>
      </c>
      <c r="J14" s="30">
        <f t="shared" ref="J14:J19" si="2">3200*I14</f>
        <v>0</v>
      </c>
      <c r="K14" s="30">
        <f t="shared" si="0"/>
        <v>0</v>
      </c>
      <c r="L14" s="46"/>
      <c r="M14" s="43">
        <f t="shared" ref="M14:M19" si="3">J14+K14</f>
        <v>0</v>
      </c>
    </row>
    <row r="15" spans="1:13">
      <c r="A15" s="12"/>
      <c r="B15" s="1" t="s">
        <v>6</v>
      </c>
      <c r="C15" s="235"/>
      <c r="D15" s="235"/>
      <c r="E15" s="235">
        <f>D15</f>
        <v>0</v>
      </c>
      <c r="F15" s="235"/>
      <c r="G15" s="235">
        <f>D15*15</f>
        <v>0</v>
      </c>
      <c r="H15" s="30">
        <f>G15</f>
        <v>0</v>
      </c>
      <c r="I15" s="30">
        <f t="shared" si="1"/>
        <v>0</v>
      </c>
      <c r="J15" s="30">
        <f t="shared" si="2"/>
        <v>0</v>
      </c>
      <c r="K15" s="30">
        <f t="shared" si="0"/>
        <v>0</v>
      </c>
      <c r="L15" s="46"/>
      <c r="M15" s="43">
        <f t="shared" si="3"/>
        <v>0</v>
      </c>
    </row>
    <row r="16" spans="1:13">
      <c r="A16" s="12"/>
      <c r="B16" s="1" t="s">
        <v>5</v>
      </c>
      <c r="C16" s="235"/>
      <c r="D16" s="235"/>
      <c r="E16" s="235">
        <f>D16</f>
        <v>0</v>
      </c>
      <c r="F16" s="235"/>
      <c r="G16" s="235">
        <f>D16*15</f>
        <v>0</v>
      </c>
      <c r="H16" s="30">
        <f>G16</f>
        <v>0</v>
      </c>
      <c r="I16" s="30">
        <f t="shared" si="1"/>
        <v>0</v>
      </c>
      <c r="J16" s="30">
        <f t="shared" si="2"/>
        <v>0</v>
      </c>
      <c r="K16" s="30">
        <f t="shared" si="0"/>
        <v>0</v>
      </c>
      <c r="L16" s="46"/>
      <c r="M16" s="43">
        <f t="shared" si="3"/>
        <v>0</v>
      </c>
    </row>
    <row r="17" spans="1:13">
      <c r="A17" s="12"/>
      <c r="B17" s="2" t="s">
        <v>7</v>
      </c>
      <c r="C17" s="235"/>
      <c r="D17" s="235"/>
      <c r="E17" s="235">
        <f>D17</f>
        <v>0</v>
      </c>
      <c r="F17" s="235"/>
      <c r="G17" s="235">
        <f>D17*15</f>
        <v>0</v>
      </c>
      <c r="H17" s="30">
        <f>G17</f>
        <v>0</v>
      </c>
      <c r="I17" s="30">
        <f t="shared" si="1"/>
        <v>0</v>
      </c>
      <c r="J17" s="30">
        <f t="shared" si="2"/>
        <v>0</v>
      </c>
      <c r="K17" s="30">
        <f t="shared" si="0"/>
        <v>0</v>
      </c>
      <c r="L17" s="46"/>
      <c r="M17" s="43">
        <f t="shared" si="3"/>
        <v>0</v>
      </c>
    </row>
    <row r="18" spans="1:13">
      <c r="A18" s="13"/>
      <c r="B18" s="2" t="s">
        <v>8</v>
      </c>
      <c r="C18" s="235"/>
      <c r="D18" s="235"/>
      <c r="E18" s="235">
        <f>D18</f>
        <v>0</v>
      </c>
      <c r="F18" s="235"/>
      <c r="G18" s="235">
        <f>D18*15</f>
        <v>0</v>
      </c>
      <c r="H18" s="30">
        <f>G18</f>
        <v>0</v>
      </c>
      <c r="I18" s="30">
        <f t="shared" si="1"/>
        <v>0</v>
      </c>
      <c r="J18" s="30">
        <f t="shared" si="2"/>
        <v>0</v>
      </c>
      <c r="K18" s="30">
        <f t="shared" si="0"/>
        <v>0</v>
      </c>
      <c r="L18" s="46"/>
      <c r="M18" s="43">
        <f t="shared" si="3"/>
        <v>0</v>
      </c>
    </row>
    <row r="19" spans="1:13">
      <c r="A19" s="14"/>
      <c r="B19" s="23" t="s">
        <v>4</v>
      </c>
      <c r="C19" s="235"/>
      <c r="D19" s="235"/>
      <c r="E19" s="235">
        <f>D19</f>
        <v>0</v>
      </c>
      <c r="F19" s="235"/>
      <c r="G19" s="235">
        <f>D19*15</f>
        <v>0</v>
      </c>
      <c r="H19" s="30">
        <f>G19</f>
        <v>0</v>
      </c>
      <c r="I19" s="30">
        <f t="shared" si="1"/>
        <v>0</v>
      </c>
      <c r="J19" s="30">
        <f t="shared" si="2"/>
        <v>0</v>
      </c>
      <c r="K19" s="30">
        <f t="shared" si="0"/>
        <v>0</v>
      </c>
      <c r="L19" s="46"/>
      <c r="M19" s="43">
        <f t="shared" si="3"/>
        <v>0</v>
      </c>
    </row>
    <row r="20" spans="1:13">
      <c r="A20" s="36">
        <v>3</v>
      </c>
      <c r="B20" s="33" t="s">
        <v>22</v>
      </c>
      <c r="C20" s="37"/>
      <c r="D20" s="37">
        <f>D21</f>
        <v>0</v>
      </c>
      <c r="E20" s="37">
        <f>E21</f>
        <v>0</v>
      </c>
      <c r="F20" s="37"/>
      <c r="G20" s="37">
        <f t="shared" ref="G20:M20" si="4">G21</f>
        <v>0</v>
      </c>
      <c r="H20" s="37">
        <f t="shared" si="4"/>
        <v>0</v>
      </c>
      <c r="I20" s="37">
        <f t="shared" si="4"/>
        <v>0</v>
      </c>
      <c r="J20" s="37">
        <f t="shared" si="4"/>
        <v>0</v>
      </c>
      <c r="K20" s="37">
        <f t="shared" si="4"/>
        <v>0</v>
      </c>
      <c r="L20" s="47">
        <f t="shared" si="4"/>
        <v>0</v>
      </c>
      <c r="M20" s="38">
        <f t="shared" si="4"/>
        <v>0</v>
      </c>
    </row>
    <row r="21" spans="1:13">
      <c r="A21" s="10"/>
      <c r="B21" s="24" t="s">
        <v>19</v>
      </c>
      <c r="C21" s="235"/>
      <c r="D21" s="235"/>
      <c r="E21" s="235">
        <f>D21</f>
        <v>0</v>
      </c>
      <c r="F21" s="235"/>
      <c r="G21" s="235">
        <f>E21*15</f>
        <v>0</v>
      </c>
      <c r="H21" s="30">
        <f>G20</f>
        <v>0</v>
      </c>
      <c r="I21" s="30">
        <f>H21+E21</f>
        <v>0</v>
      </c>
      <c r="J21" s="30">
        <f>3200*I21</f>
        <v>0</v>
      </c>
      <c r="K21" s="30"/>
      <c r="L21" s="46"/>
      <c r="M21" s="43">
        <f>J21+K21</f>
        <v>0</v>
      </c>
    </row>
    <row r="22" spans="1:13">
      <c r="A22" s="36">
        <v>4</v>
      </c>
      <c r="B22" s="33" t="s">
        <v>23</v>
      </c>
      <c r="C22" s="37"/>
      <c r="D22" s="37">
        <f>D23</f>
        <v>0</v>
      </c>
      <c r="E22" s="37">
        <f>E23</f>
        <v>0</v>
      </c>
      <c r="F22" s="37"/>
      <c r="G22" s="37">
        <f t="shared" ref="G22:M22" si="5">G23</f>
        <v>0</v>
      </c>
      <c r="H22" s="38">
        <f t="shared" si="5"/>
        <v>0</v>
      </c>
      <c r="I22" s="38">
        <f t="shared" si="5"/>
        <v>0</v>
      </c>
      <c r="J22" s="38">
        <f t="shared" si="5"/>
        <v>0</v>
      </c>
      <c r="K22" s="38">
        <f t="shared" si="5"/>
        <v>0</v>
      </c>
      <c r="L22" s="47">
        <f t="shared" si="5"/>
        <v>0</v>
      </c>
      <c r="M22" s="44">
        <f t="shared" si="5"/>
        <v>0</v>
      </c>
    </row>
    <row r="23" spans="1:13">
      <c r="A23" s="15"/>
      <c r="B23" s="3" t="s">
        <v>9</v>
      </c>
      <c r="C23" s="235"/>
      <c r="D23" s="235"/>
      <c r="E23" s="235">
        <f>D22</f>
        <v>0</v>
      </c>
      <c r="F23" s="235"/>
      <c r="G23" s="235">
        <f>E23*32</f>
        <v>0</v>
      </c>
      <c r="H23" s="30">
        <f>G22</f>
        <v>0</v>
      </c>
      <c r="I23" s="235">
        <f>H23+E23*2</f>
        <v>0</v>
      </c>
      <c r="J23" s="30">
        <f>3200*I23</f>
        <v>0</v>
      </c>
      <c r="K23" s="30">
        <f>1600*H23</f>
        <v>0</v>
      </c>
      <c r="L23" s="46"/>
      <c r="M23" s="43">
        <f>J23+K23</f>
        <v>0</v>
      </c>
    </row>
    <row r="24" spans="1:13">
      <c r="A24" s="36">
        <v>5</v>
      </c>
      <c r="B24" s="33" t="s">
        <v>24</v>
      </c>
      <c r="C24" s="37"/>
      <c r="D24" s="37">
        <f>D25</f>
        <v>0</v>
      </c>
      <c r="E24" s="37">
        <f>E25</f>
        <v>0</v>
      </c>
      <c r="F24" s="37"/>
      <c r="G24" s="37">
        <f t="shared" ref="G24:M24" si="6">G25</f>
        <v>0</v>
      </c>
      <c r="H24" s="38">
        <f t="shared" si="6"/>
        <v>0</v>
      </c>
      <c r="I24" s="38">
        <f t="shared" si="6"/>
        <v>0</v>
      </c>
      <c r="J24" s="38">
        <f t="shared" si="6"/>
        <v>0</v>
      </c>
      <c r="K24" s="38">
        <f t="shared" si="6"/>
        <v>0</v>
      </c>
      <c r="L24" s="48">
        <f t="shared" si="6"/>
        <v>0</v>
      </c>
      <c r="M24" s="216">
        <f t="shared" si="6"/>
        <v>0</v>
      </c>
    </row>
    <row r="25" spans="1:13">
      <c r="A25" s="16"/>
      <c r="B25" s="23" t="s">
        <v>10</v>
      </c>
      <c r="C25" s="235"/>
      <c r="D25" s="235"/>
      <c r="E25" s="235">
        <f>D24</f>
        <v>0</v>
      </c>
      <c r="F25" s="235"/>
      <c r="G25" s="235"/>
      <c r="H25" s="30">
        <f>G25</f>
        <v>0</v>
      </c>
      <c r="I25" s="30">
        <f>H25+E25</f>
        <v>0</v>
      </c>
      <c r="J25" s="30">
        <f>3200*I25</f>
        <v>0</v>
      </c>
      <c r="K25" s="30">
        <f>1600*H25</f>
        <v>0</v>
      </c>
      <c r="L25" s="46"/>
      <c r="M25" s="43">
        <f>J25+K25</f>
        <v>0</v>
      </c>
    </row>
    <row r="26" spans="1:13">
      <c r="A26" s="39">
        <v>6</v>
      </c>
      <c r="B26" s="33" t="s">
        <v>25</v>
      </c>
      <c r="C26" s="37"/>
      <c r="D26" s="37">
        <f>D27</f>
        <v>0</v>
      </c>
      <c r="E26" s="37">
        <f>E27</f>
        <v>0</v>
      </c>
      <c r="F26" s="37"/>
      <c r="G26" s="37">
        <f t="shared" ref="G26:M26" si="7">G27</f>
        <v>0</v>
      </c>
      <c r="H26" s="38">
        <f t="shared" si="7"/>
        <v>0</v>
      </c>
      <c r="I26" s="38">
        <f t="shared" si="7"/>
        <v>0</v>
      </c>
      <c r="J26" s="38">
        <f t="shared" si="7"/>
        <v>0</v>
      </c>
      <c r="K26" s="38">
        <f t="shared" si="7"/>
        <v>0</v>
      </c>
      <c r="L26" s="48">
        <f t="shared" si="7"/>
        <v>0</v>
      </c>
      <c r="M26" s="216">
        <f t="shared" si="7"/>
        <v>0</v>
      </c>
    </row>
    <row r="27" spans="1:13">
      <c r="A27" s="15"/>
      <c r="B27" s="3" t="s">
        <v>10</v>
      </c>
      <c r="C27" s="235"/>
      <c r="D27" s="235"/>
      <c r="E27" s="235">
        <f>D26</f>
        <v>0</v>
      </c>
      <c r="F27" s="235"/>
      <c r="G27" s="235">
        <f>E27*24</f>
        <v>0</v>
      </c>
      <c r="H27" s="30">
        <f>G27</f>
        <v>0</v>
      </c>
      <c r="I27" s="30">
        <f>H27+E27</f>
        <v>0</v>
      </c>
      <c r="J27" s="30">
        <f>3200*I27</f>
        <v>0</v>
      </c>
      <c r="K27" s="30">
        <f>1600*H27</f>
        <v>0</v>
      </c>
      <c r="L27" s="46"/>
      <c r="M27" s="43">
        <f>J27+K27</f>
        <v>0</v>
      </c>
    </row>
    <row r="28" spans="1:13">
      <c r="A28" s="36">
        <v>7</v>
      </c>
      <c r="B28" s="33" t="s">
        <v>26</v>
      </c>
      <c r="C28" s="37">
        <f>C29</f>
        <v>0</v>
      </c>
      <c r="D28" s="37">
        <f>D30</f>
        <v>0</v>
      </c>
      <c r="E28" s="37">
        <f>E29+E30</f>
        <v>0</v>
      </c>
      <c r="F28" s="37">
        <f>F29</f>
        <v>0</v>
      </c>
      <c r="G28" s="37">
        <f>G30</f>
        <v>0</v>
      </c>
      <c r="H28" s="38">
        <f t="shared" ref="H28:M28" si="8">H29+H30</f>
        <v>0</v>
      </c>
      <c r="I28" s="38">
        <f t="shared" si="8"/>
        <v>0</v>
      </c>
      <c r="J28" s="38">
        <f t="shared" si="8"/>
        <v>0</v>
      </c>
      <c r="K28" s="38">
        <f t="shared" si="8"/>
        <v>0</v>
      </c>
      <c r="L28" s="48">
        <f t="shared" si="8"/>
        <v>0</v>
      </c>
      <c r="M28" s="216">
        <f t="shared" si="8"/>
        <v>0</v>
      </c>
    </row>
    <row r="29" spans="1:13">
      <c r="A29" s="12"/>
      <c r="B29" s="1" t="s">
        <v>3</v>
      </c>
      <c r="C29" s="235"/>
      <c r="D29" s="235"/>
      <c r="E29" s="235">
        <f>C29</f>
        <v>0</v>
      </c>
      <c r="F29" s="235"/>
      <c r="G29" s="235"/>
      <c r="H29" s="30">
        <f>F29</f>
        <v>0</v>
      </c>
      <c r="I29" s="30">
        <f>H29+E29</f>
        <v>0</v>
      </c>
      <c r="J29" s="30">
        <f>3200*I29</f>
        <v>0</v>
      </c>
      <c r="K29" s="30">
        <f>1600*H29</f>
        <v>0</v>
      </c>
      <c r="L29" s="46"/>
      <c r="M29" s="43">
        <f>J29+K29</f>
        <v>0</v>
      </c>
    </row>
    <row r="30" spans="1:13">
      <c r="A30" s="12"/>
      <c r="B30" s="1" t="s">
        <v>11</v>
      </c>
      <c r="C30" s="235"/>
      <c r="D30" s="235"/>
      <c r="E30" s="235">
        <f>D30</f>
        <v>0</v>
      </c>
      <c r="F30" s="235"/>
      <c r="G30" s="30"/>
      <c r="H30" s="30">
        <f>G30</f>
        <v>0</v>
      </c>
      <c r="I30" s="30">
        <f>H30+E30</f>
        <v>0</v>
      </c>
      <c r="J30" s="30">
        <f>3200*I30</f>
        <v>0</v>
      </c>
      <c r="K30" s="30">
        <f>1600*H30</f>
        <v>0</v>
      </c>
      <c r="L30" s="46"/>
      <c r="M30" s="43">
        <f>J30+K30+M62</f>
        <v>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0</v>
      </c>
      <c r="E31" s="37">
        <f t="shared" si="9"/>
        <v>0</v>
      </c>
      <c r="F31" s="37">
        <f t="shared" si="9"/>
        <v>0</v>
      </c>
      <c r="G31" s="37">
        <f t="shared" si="9"/>
        <v>0</v>
      </c>
      <c r="H31" s="37">
        <f t="shared" si="9"/>
        <v>0</v>
      </c>
      <c r="I31" s="37">
        <f t="shared" si="9"/>
        <v>0</v>
      </c>
      <c r="J31" s="37">
        <f t="shared" si="9"/>
        <v>0</v>
      </c>
      <c r="K31" s="37">
        <f t="shared" si="9"/>
        <v>0</v>
      </c>
      <c r="L31" s="37">
        <f t="shared" si="9"/>
        <v>0</v>
      </c>
      <c r="M31" s="38">
        <f t="shared" si="9"/>
        <v>0</v>
      </c>
    </row>
    <row r="32" spans="1:13">
      <c r="A32" s="10"/>
      <c r="B32" s="24" t="s">
        <v>19</v>
      </c>
      <c r="C32" s="235"/>
      <c r="D32" s="235"/>
      <c r="E32" s="235">
        <f>D32</f>
        <v>0</v>
      </c>
      <c r="F32" s="235"/>
      <c r="G32" s="235">
        <f>E32*15</f>
        <v>0</v>
      </c>
      <c r="H32" s="30">
        <f>G32</f>
        <v>0</v>
      </c>
      <c r="I32" s="30">
        <f>H32+E32</f>
        <v>0</v>
      </c>
      <c r="J32" s="30">
        <f>3200*I32</f>
        <v>0</v>
      </c>
      <c r="K32" s="30"/>
      <c r="L32" s="46"/>
      <c r="M32" s="43">
        <f>J32+K32</f>
        <v>0</v>
      </c>
    </row>
    <row r="33" spans="1:13">
      <c r="A33" s="36">
        <v>9</v>
      </c>
      <c r="B33" s="33" t="s">
        <v>27</v>
      </c>
      <c r="C33" s="37">
        <f>C34</f>
        <v>0</v>
      </c>
      <c r="D33" s="37">
        <f>D35+D36</f>
        <v>0</v>
      </c>
      <c r="E33" s="37">
        <f>E34+E35+E36</f>
        <v>0</v>
      </c>
      <c r="F33" s="37">
        <f>F34</f>
        <v>0</v>
      </c>
      <c r="G33" s="37">
        <f>G35+G36</f>
        <v>0</v>
      </c>
      <c r="H33" s="38">
        <f t="shared" ref="H33:M33" si="10">H34+H35+H36</f>
        <v>0</v>
      </c>
      <c r="I33" s="38">
        <f t="shared" si="10"/>
        <v>0</v>
      </c>
      <c r="J33" s="35">
        <f t="shared" si="10"/>
        <v>0</v>
      </c>
      <c r="K33" s="35">
        <f t="shared" si="10"/>
        <v>0</v>
      </c>
      <c r="L33" s="47">
        <f t="shared" si="10"/>
        <v>0</v>
      </c>
      <c r="M33" s="216">
        <f t="shared" si="10"/>
        <v>0</v>
      </c>
    </row>
    <row r="34" spans="1:13">
      <c r="A34" s="12"/>
      <c r="B34" s="1" t="s">
        <v>3</v>
      </c>
      <c r="C34" s="235"/>
      <c r="D34" s="235"/>
      <c r="E34" s="235">
        <f>C34</f>
        <v>0</v>
      </c>
      <c r="F34" s="235"/>
      <c r="G34" s="235"/>
      <c r="H34" s="30">
        <f>F34</f>
        <v>0</v>
      </c>
      <c r="I34" s="30">
        <f>H34+E34</f>
        <v>0</v>
      </c>
      <c r="J34" s="30">
        <f>3200*I34</f>
        <v>0</v>
      </c>
      <c r="K34" s="30">
        <f>1600*H34</f>
        <v>0</v>
      </c>
      <c r="L34" s="46"/>
      <c r="M34" s="43">
        <f>J34+K34</f>
        <v>0</v>
      </c>
    </row>
    <row r="35" spans="1:13">
      <c r="A35" s="13"/>
      <c r="B35" s="1" t="s">
        <v>12</v>
      </c>
      <c r="C35" s="235"/>
      <c r="D35" s="235"/>
      <c r="E35" s="235">
        <f>D35</f>
        <v>0</v>
      </c>
      <c r="F35" s="235"/>
      <c r="G35" s="235"/>
      <c r="H35" s="30">
        <f>G35</f>
        <v>0</v>
      </c>
      <c r="I35" s="30">
        <f>H35+E35</f>
        <v>0</v>
      </c>
      <c r="J35" s="30">
        <f>3200*I35</f>
        <v>0</v>
      </c>
      <c r="K35" s="30">
        <f>1600*H35</f>
        <v>0</v>
      </c>
      <c r="L35" s="46"/>
      <c r="M35" s="43">
        <f>J35+K35+M63</f>
        <v>0</v>
      </c>
    </row>
    <row r="36" spans="1:13">
      <c r="A36" s="13"/>
      <c r="B36" s="96" t="s">
        <v>128</v>
      </c>
      <c r="C36" s="235"/>
      <c r="D36" s="235"/>
      <c r="E36" s="235">
        <f>D36</f>
        <v>0</v>
      </c>
      <c r="F36" s="235"/>
      <c r="G36" s="235"/>
      <c r="H36" s="30">
        <f>G36</f>
        <v>0</v>
      </c>
      <c r="I36" s="30"/>
      <c r="J36" s="30">
        <f>4000*I36</f>
        <v>0</v>
      </c>
      <c r="K36" s="30"/>
      <c r="L36" s="46"/>
      <c r="M36" s="43">
        <f>J36+K36</f>
        <v>0</v>
      </c>
    </row>
    <row r="37" spans="1:13">
      <c r="A37" s="36">
        <v>10</v>
      </c>
      <c r="B37" s="33" t="s">
        <v>28</v>
      </c>
      <c r="C37" s="37"/>
      <c r="D37" s="37">
        <f>D38</f>
        <v>0</v>
      </c>
      <c r="E37" s="37">
        <f>E38</f>
        <v>0</v>
      </c>
      <c r="F37" s="37"/>
      <c r="G37" s="37">
        <f t="shared" ref="G37:M37" si="11">G38</f>
        <v>0</v>
      </c>
      <c r="H37" s="38">
        <f t="shared" si="11"/>
        <v>0</v>
      </c>
      <c r="I37" s="38">
        <f t="shared" si="11"/>
        <v>0</v>
      </c>
      <c r="J37" s="38">
        <f t="shared" si="11"/>
        <v>0</v>
      </c>
      <c r="K37" s="38">
        <f t="shared" si="11"/>
        <v>0</v>
      </c>
      <c r="L37" s="48">
        <f t="shared" si="11"/>
        <v>0</v>
      </c>
      <c r="M37" s="216">
        <f t="shared" si="11"/>
        <v>0</v>
      </c>
    </row>
    <row r="38" spans="1:13">
      <c r="A38" s="13"/>
      <c r="B38" s="96" t="s">
        <v>128</v>
      </c>
      <c r="C38" s="235"/>
      <c r="D38" s="235"/>
      <c r="E38" s="235">
        <f>D38</f>
        <v>0</v>
      </c>
      <c r="F38" s="235"/>
      <c r="G38" s="235">
        <f>E38*15</f>
        <v>0</v>
      </c>
      <c r="H38" s="30">
        <f>G38</f>
        <v>0</v>
      </c>
      <c r="I38" s="30">
        <f>H38+E38</f>
        <v>0</v>
      </c>
      <c r="J38" s="30">
        <f>4000*I38</f>
        <v>0</v>
      </c>
      <c r="K38" s="30"/>
      <c r="L38" s="46"/>
      <c r="M38" s="43">
        <f>J38+K38</f>
        <v>0</v>
      </c>
    </row>
    <row r="39" spans="1:13">
      <c r="A39" s="36">
        <v>11</v>
      </c>
      <c r="B39" s="33" t="s">
        <v>44</v>
      </c>
      <c r="C39" s="37"/>
      <c r="D39" s="37">
        <f>D40+D41+D42+D43</f>
        <v>0</v>
      </c>
      <c r="E39" s="37">
        <f>E40+E41+E42+E43</f>
        <v>0</v>
      </c>
      <c r="F39" s="37"/>
      <c r="G39" s="37">
        <f t="shared" ref="G39:M39" si="12">G40+G41+G42+G43</f>
        <v>0</v>
      </c>
      <c r="H39" s="38">
        <f t="shared" si="12"/>
        <v>0</v>
      </c>
      <c r="I39" s="38">
        <f t="shared" si="12"/>
        <v>0</v>
      </c>
      <c r="J39" s="45">
        <f t="shared" si="12"/>
        <v>0</v>
      </c>
      <c r="K39" s="45">
        <f t="shared" si="12"/>
        <v>0</v>
      </c>
      <c r="L39" s="47">
        <f t="shared" si="12"/>
        <v>0</v>
      </c>
      <c r="M39" s="216">
        <f t="shared" si="12"/>
        <v>0</v>
      </c>
    </row>
    <row r="40" spans="1:13">
      <c r="A40" s="9"/>
      <c r="B40" s="24" t="s">
        <v>13</v>
      </c>
      <c r="C40" s="235"/>
      <c r="D40" s="235"/>
      <c r="E40" s="235">
        <f>D40</f>
        <v>0</v>
      </c>
      <c r="F40" s="235"/>
      <c r="G40" s="235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0</v>
      </c>
      <c r="E44" s="37">
        <f>E45+E46</f>
        <v>0</v>
      </c>
      <c r="F44" s="37"/>
      <c r="G44" s="37">
        <f t="shared" ref="G44:M44" si="13">G45+G46</f>
        <v>0</v>
      </c>
      <c r="H44" s="37">
        <f t="shared" si="13"/>
        <v>0</v>
      </c>
      <c r="I44" s="37">
        <f t="shared" si="13"/>
        <v>0</v>
      </c>
      <c r="J44" s="37">
        <f t="shared" si="13"/>
        <v>0</v>
      </c>
      <c r="K44" s="37">
        <f t="shared" si="13"/>
        <v>0</v>
      </c>
      <c r="L44" s="37">
        <f t="shared" si="13"/>
        <v>0</v>
      </c>
      <c r="M44" s="219">
        <f t="shared" si="13"/>
        <v>0</v>
      </c>
    </row>
    <row r="45" spans="1:13">
      <c r="A45" s="17"/>
      <c r="B45" s="25" t="s">
        <v>13</v>
      </c>
      <c r="C45" s="235"/>
      <c r="D45" s="235"/>
      <c r="E45" s="235">
        <f t="shared" ref="E45:E51" si="14">D45</f>
        <v>0</v>
      </c>
      <c r="F45" s="235"/>
      <c r="G45" s="235">
        <f>D45*40</f>
        <v>0</v>
      </c>
      <c r="H45" s="30">
        <f>G45</f>
        <v>0</v>
      </c>
      <c r="I45" s="235">
        <f>D45*42</f>
        <v>0</v>
      </c>
      <c r="J45" s="30">
        <f>5590*I45</f>
        <v>0</v>
      </c>
      <c r="K45" s="30">
        <f>1500*H45</f>
        <v>0</v>
      </c>
      <c r="L45" s="46"/>
      <c r="M45" s="43">
        <f>J45+K45</f>
        <v>0</v>
      </c>
    </row>
    <row r="46" spans="1:13">
      <c r="A46" s="18"/>
      <c r="B46" s="24" t="s">
        <v>15</v>
      </c>
      <c r="C46" s="235"/>
      <c r="D46" s="235"/>
      <c r="E46" s="235">
        <f t="shared" si="14"/>
        <v>0</v>
      </c>
      <c r="F46" s="235"/>
      <c r="G46" s="235">
        <f>D46*40</f>
        <v>0</v>
      </c>
      <c r="H46" s="30">
        <f>G46</f>
        <v>0</v>
      </c>
      <c r="I46" s="235">
        <f>D46*42</f>
        <v>0</v>
      </c>
      <c r="J46" s="30">
        <f>5590*I46</f>
        <v>0</v>
      </c>
      <c r="K46" s="30">
        <f>1500*H46</f>
        <v>0</v>
      </c>
      <c r="L46" s="46"/>
      <c r="M46" s="43">
        <f>J46+K46</f>
        <v>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0</v>
      </c>
      <c r="E49" s="37">
        <f>E50+E51</f>
        <v>0</v>
      </c>
      <c r="F49" s="37"/>
      <c r="G49" s="37">
        <f t="shared" ref="G49:M49" si="16">G50+G51</f>
        <v>0</v>
      </c>
      <c r="H49" s="37">
        <f t="shared" si="16"/>
        <v>0</v>
      </c>
      <c r="I49" s="37">
        <f t="shared" si="16"/>
        <v>0</v>
      </c>
      <c r="J49" s="37">
        <f t="shared" si="16"/>
        <v>0</v>
      </c>
      <c r="K49" s="37">
        <f t="shared" si="16"/>
        <v>0</v>
      </c>
      <c r="L49" s="37">
        <f t="shared" si="16"/>
        <v>0</v>
      </c>
      <c r="M49" s="219">
        <f t="shared" si="16"/>
        <v>0</v>
      </c>
    </row>
    <row r="50" spans="1:13">
      <c r="A50" s="152"/>
      <c r="B50" s="155" t="s">
        <v>155</v>
      </c>
      <c r="C50" s="153"/>
      <c r="D50" s="153"/>
      <c r="E50" s="235">
        <f t="shared" si="14"/>
        <v>0</v>
      </c>
      <c r="F50" s="153"/>
      <c r="G50" s="153">
        <f>E50*15</f>
        <v>0</v>
      </c>
      <c r="H50" s="30">
        <f>G50</f>
        <v>0</v>
      </c>
      <c r="I50" s="30">
        <f>H50+E50</f>
        <v>0</v>
      </c>
      <c r="J50" s="30">
        <f>3200*I50</f>
        <v>0</v>
      </c>
      <c r="K50" s="30">
        <f>1600*H50</f>
        <v>0</v>
      </c>
      <c r="L50" s="154"/>
      <c r="M50" s="43">
        <f>J50+K50+(L50*15000)</f>
        <v>0</v>
      </c>
    </row>
    <row r="51" spans="1:13">
      <c r="A51" s="13"/>
      <c r="B51" s="156" t="s">
        <v>18</v>
      </c>
      <c r="C51" s="235"/>
      <c r="D51" s="235"/>
      <c r="E51" s="235">
        <f t="shared" si="14"/>
        <v>0</v>
      </c>
      <c r="F51" s="235"/>
      <c r="G51" s="153">
        <f>E51*15</f>
        <v>0</v>
      </c>
      <c r="H51" s="30">
        <f>G51</f>
        <v>0</v>
      </c>
      <c r="I51" s="30">
        <f>H51+E51</f>
        <v>0</v>
      </c>
      <c r="J51" s="30">
        <f>4000*I51</f>
        <v>0</v>
      </c>
      <c r="K51" s="30"/>
      <c r="L51" s="46"/>
      <c r="M51" s="43">
        <f>J51+K51+(L51*15000)</f>
        <v>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0</v>
      </c>
      <c r="E58" s="81">
        <f>E59</f>
        <v>0</v>
      </c>
      <c r="F58" s="81"/>
      <c r="G58" s="81">
        <f>G59</f>
        <v>0</v>
      </c>
      <c r="H58" s="170">
        <f>H59</f>
        <v>0</v>
      </c>
      <c r="I58" s="170">
        <f>I59</f>
        <v>0</v>
      </c>
      <c r="J58" s="170">
        <f>J59</f>
        <v>0</v>
      </c>
      <c r="K58" s="170">
        <f>K59</f>
        <v>0</v>
      </c>
      <c r="L58" s="81">
        <f>L59+L63</f>
        <v>0</v>
      </c>
      <c r="M58" s="217">
        <f>M59</f>
        <v>0</v>
      </c>
    </row>
    <row r="59" spans="1:13">
      <c r="A59" s="14"/>
      <c r="B59" s="236" t="s">
        <v>234</v>
      </c>
      <c r="C59" s="29"/>
      <c r="D59" s="29">
        <v>0</v>
      </c>
      <c r="E59" s="29">
        <f>D58</f>
        <v>0</v>
      </c>
      <c r="F59" s="29"/>
      <c r="G59" s="29">
        <v>0</v>
      </c>
      <c r="H59" s="31">
        <f>G59</f>
        <v>0</v>
      </c>
      <c r="I59" s="31">
        <f>H59+E59*2</f>
        <v>0</v>
      </c>
      <c r="J59" s="79">
        <f>4300*I59</f>
        <v>0</v>
      </c>
      <c r="K59" s="31">
        <f>2500*H59</f>
        <v>0</v>
      </c>
      <c r="L59" s="49"/>
      <c r="M59" s="80">
        <f>J59+K59</f>
        <v>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0</v>
      </c>
      <c r="D64" s="42">
        <f>D8+D13+D20+D22+D24+D26+D28+D31+D33+D37+D39+D44+D47+D49+D52+D54+D56+D58</f>
        <v>0</v>
      </c>
      <c r="E64" s="42">
        <f>E8+E13+E20+E22+E24+E26+E28+E31+E33+E37+E39+E44+E47+E49+E52+E54+E56+E58+E60</f>
        <v>0</v>
      </c>
      <c r="F64" s="42">
        <f>F8+F13+F28+F33+F60</f>
        <v>0</v>
      </c>
      <c r="G64" s="42">
        <f>G8+G13+G20+G22+G24+G26+G28+G31+G33+G37+G39+G44+G47+G49+G52+G54+G56+G58</f>
        <v>0</v>
      </c>
      <c r="H64" s="42">
        <f>H8+H13+H20+H22+H24+H26+H28+H31+H33+H37+H39+H44+H47+H49+H52+H54+H56+H58+H60</f>
        <v>0</v>
      </c>
      <c r="I64" s="42">
        <f>I8+I13+I20+I22+I24+I26+I28+I31+I33+I37+I39+I44+I47+I49+I52+I54+I56+I58+I60</f>
        <v>0</v>
      </c>
      <c r="J64" s="42">
        <f>J8+J13+J20+J22+J24+J26+J28+J31+J33+J37+J39+J44+J47+J49+J52+J54+J56+J58</f>
        <v>0</v>
      </c>
      <c r="K64" s="42">
        <f>K8+K13+K20+K22+K24+K26+K28+K31+K33+K37+K39+K44+K47+K49+K52+K54+K56+K58</f>
        <v>0</v>
      </c>
      <c r="L64" s="50"/>
      <c r="M64" s="42">
        <f>M8+M13+M20+M22+M24+M26+M28+M31+M33+M37+M39+M44+M47+M49+M52+M54+M56+M58+M60+M65+M66</f>
        <v>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/>
      <c r="M66" s="150">
        <f>15000*L66</f>
        <v>0</v>
      </c>
    </row>
    <row r="67" spans="2:13">
      <c r="B67" s="144" t="s">
        <v>74</v>
      </c>
      <c r="C67" s="131">
        <f>F67+G67</f>
        <v>0</v>
      </c>
      <c r="D67" s="340">
        <f>C67*25000</f>
        <v>0</v>
      </c>
      <c r="E67" s="341"/>
      <c r="F67" s="131"/>
      <c r="G67" s="145"/>
      <c r="H67" s="119"/>
      <c r="K67" s="97" t="s">
        <v>32</v>
      </c>
      <c r="L67" s="234">
        <f>L65+L66</f>
        <v>0</v>
      </c>
    </row>
    <row r="68" spans="2:13" ht="13.5" thickBot="1">
      <c r="B68" s="120" t="s">
        <v>75</v>
      </c>
      <c r="C68" s="131">
        <f t="shared" ref="C68:C74" si="20">F68+G68</f>
        <v>0</v>
      </c>
      <c r="D68" s="342">
        <f>C68*30000</f>
        <v>0</v>
      </c>
      <c r="E68" s="343"/>
      <c r="F68" s="122"/>
      <c r="G68" s="139"/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0</v>
      </c>
      <c r="D69" s="329">
        <f>C69*35000</f>
        <v>0</v>
      </c>
      <c r="E69" s="330"/>
      <c r="F69" s="121"/>
      <c r="G69" s="138"/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0</v>
      </c>
      <c r="D70" s="329">
        <f>C70*20000</f>
        <v>0</v>
      </c>
      <c r="E70" s="330"/>
      <c r="F70" s="121"/>
      <c r="G70" s="138"/>
      <c r="H70" s="135"/>
      <c r="I70" s="97"/>
      <c r="K70" s="109" t="s">
        <v>132</v>
      </c>
      <c r="L70" s="163">
        <f>C77</f>
        <v>0</v>
      </c>
      <c r="M70" s="110">
        <f>D77</f>
        <v>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0</v>
      </c>
      <c r="M71" s="112">
        <f>D78+D79</f>
        <v>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/>
      <c r="M72" s="114">
        <f>L72*20000</f>
        <v>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0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0</v>
      </c>
      <c r="D77" s="344">
        <f>SUM(D67:E76)</f>
        <v>0</v>
      </c>
      <c r="E77" s="345"/>
      <c r="F77" s="133"/>
      <c r="G77" s="134"/>
      <c r="H77" s="119"/>
    </row>
    <row r="78" spans="2:13" ht="13.5" thickTop="1">
      <c r="B78" s="129" t="s">
        <v>144</v>
      </c>
      <c r="C78" s="131"/>
      <c r="D78" s="346"/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/>
      <c r="D79" s="348"/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K6:K7"/>
    <mergeCell ref="L6:L7"/>
    <mergeCell ref="M6:M7"/>
    <mergeCell ref="C6:E6"/>
    <mergeCell ref="F6:I6"/>
    <mergeCell ref="J6:J7"/>
    <mergeCell ref="D1:M1"/>
    <mergeCell ref="D2:M2"/>
    <mergeCell ref="A4:M4"/>
    <mergeCell ref="A5:M5"/>
    <mergeCell ref="A1:C1"/>
    <mergeCell ref="A2:C2"/>
    <mergeCell ref="A3:C3"/>
    <mergeCell ref="D68:E68"/>
    <mergeCell ref="D69:E69"/>
    <mergeCell ref="D70:E70"/>
    <mergeCell ref="D71:E71"/>
    <mergeCell ref="D65:E65"/>
    <mergeCell ref="D66:E66"/>
    <mergeCell ref="D67:E67"/>
    <mergeCell ref="D78:E78"/>
    <mergeCell ref="D79:E79"/>
    <mergeCell ref="D76:E76"/>
    <mergeCell ref="D77:E77"/>
    <mergeCell ref="D72:E72"/>
    <mergeCell ref="D73:E73"/>
    <mergeCell ref="D74:E74"/>
    <mergeCell ref="D75:E75"/>
  </mergeCells>
  <phoneticPr fontId="9" type="noConversion"/>
  <pageMargins left="0.31" right="0.33" top="0.34" bottom="0.45" header="0.21" footer="0.23"/>
  <pageSetup orientation="landscape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K24" sqref="K24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80"/>
  <sheetViews>
    <sheetView topLeftCell="A55" workbookViewId="0">
      <selection activeCell="D77" sqref="D77:E77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7" t="s">
        <v>35</v>
      </c>
      <c r="D7" s="27" t="s">
        <v>36</v>
      </c>
      <c r="E7" s="27" t="s">
        <v>32</v>
      </c>
      <c r="F7" s="27" t="s">
        <v>34</v>
      </c>
      <c r="G7" s="27" t="s">
        <v>37</v>
      </c>
      <c r="H7" s="28" t="s">
        <v>39</v>
      </c>
      <c r="I7" s="27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9</v>
      </c>
      <c r="E8" s="34">
        <f>SUM(E9:E12)</f>
        <v>10</v>
      </c>
      <c r="F8" s="34">
        <f>F9</f>
        <v>24</v>
      </c>
      <c r="G8" s="34">
        <f>G10+G11+G12</f>
        <v>263</v>
      </c>
      <c r="H8" s="35">
        <f>SUM(H9:H12)</f>
        <v>287</v>
      </c>
      <c r="I8" s="35">
        <f>SUM(I9:I12)</f>
        <v>298</v>
      </c>
      <c r="J8" s="35">
        <f>SUM(J9:J12)</f>
        <v>990400</v>
      </c>
      <c r="K8" s="35">
        <f>SUM(K9:K12)</f>
        <v>388800</v>
      </c>
      <c r="L8" s="34">
        <f>L9+L10+L11+L12</f>
        <v>0</v>
      </c>
      <c r="M8" s="35">
        <f>SUM(M9:M12)</f>
        <v>1379200</v>
      </c>
    </row>
    <row r="9" spans="1:13">
      <c r="A9" s="8"/>
      <c r="B9" s="1" t="s">
        <v>3</v>
      </c>
      <c r="C9" s="27">
        <v>1</v>
      </c>
      <c r="D9" s="27"/>
      <c r="E9" s="27">
        <f>C9</f>
        <v>1</v>
      </c>
      <c r="F9" s="27">
        <f>E9*24</f>
        <v>24</v>
      </c>
      <c r="G9" s="27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7"/>
      <c r="D10" s="27">
        <v>6</v>
      </c>
      <c r="E10" s="27">
        <f>D10</f>
        <v>6</v>
      </c>
      <c r="F10" s="27"/>
      <c r="G10" s="27">
        <v>163</v>
      </c>
      <c r="H10" s="30">
        <f>G10</f>
        <v>163</v>
      </c>
      <c r="I10" s="30">
        <f>H10+E10</f>
        <v>169</v>
      </c>
      <c r="J10" s="30">
        <f>3200*I10</f>
        <v>540800</v>
      </c>
      <c r="K10" s="30">
        <f t="shared" ref="K10:K19" si="0">1600*H10</f>
        <v>260800</v>
      </c>
      <c r="L10" s="46"/>
      <c r="M10" s="43">
        <f>J10+K10</f>
        <v>801600</v>
      </c>
    </row>
    <row r="11" spans="1:13">
      <c r="A11" s="10"/>
      <c r="B11" s="1" t="s">
        <v>5</v>
      </c>
      <c r="C11" s="27"/>
      <c r="D11" s="27">
        <v>2</v>
      </c>
      <c r="E11" s="27">
        <f>D11</f>
        <v>2</v>
      </c>
      <c r="F11" s="27"/>
      <c r="G11" s="27">
        <v>56</v>
      </c>
      <c r="H11" s="30">
        <f>G11</f>
        <v>56</v>
      </c>
      <c r="I11" s="30">
        <f>H11+E11</f>
        <v>58</v>
      </c>
      <c r="J11" s="30">
        <f>3200*I11</f>
        <v>185600</v>
      </c>
      <c r="K11" s="30">
        <f t="shared" si="0"/>
        <v>89600</v>
      </c>
      <c r="L11" s="46"/>
      <c r="M11" s="43">
        <f>J11+K11</f>
        <v>275200</v>
      </c>
    </row>
    <row r="12" spans="1:13">
      <c r="A12" s="11"/>
      <c r="B12" s="22" t="s">
        <v>125</v>
      </c>
      <c r="C12" s="27"/>
      <c r="D12" s="27">
        <v>1</v>
      </c>
      <c r="E12" s="27">
        <f>D12</f>
        <v>1</v>
      </c>
      <c r="F12" s="27"/>
      <c r="G12" s="27">
        <v>44</v>
      </c>
      <c r="H12" s="30">
        <f>G12</f>
        <v>44</v>
      </c>
      <c r="I12" s="30">
        <f>H12+E12*2</f>
        <v>46</v>
      </c>
      <c r="J12" s="30">
        <f>4000*I12</f>
        <v>184000</v>
      </c>
      <c r="K12" s="30"/>
      <c r="L12" s="46"/>
      <c r="M12" s="43">
        <f>J12+K12</f>
        <v>184000</v>
      </c>
    </row>
    <row r="13" spans="1:13">
      <c r="A13" s="36">
        <v>2</v>
      </c>
      <c r="B13" s="33" t="s">
        <v>21</v>
      </c>
      <c r="C13" s="37">
        <f>C14</f>
        <v>33</v>
      </c>
      <c r="D13" s="37">
        <f>D15+D16+D17+D18+D19</f>
        <v>38</v>
      </c>
      <c r="E13" s="37">
        <f>SUM(E14:E19)</f>
        <v>71</v>
      </c>
      <c r="F13" s="37">
        <f>F14</f>
        <v>495</v>
      </c>
      <c r="G13" s="37">
        <f>G15+G16+G17+G18+G19</f>
        <v>570</v>
      </c>
      <c r="H13" s="37">
        <f>SUM(H14:H19)</f>
        <v>1065</v>
      </c>
      <c r="I13" s="37">
        <f>SUM(I14:I19)</f>
        <v>1136</v>
      </c>
      <c r="J13" s="37">
        <f>SUM(J14:J19)</f>
        <v>3635200</v>
      </c>
      <c r="K13" s="37">
        <f>SUM(K14:K19)</f>
        <v>1704000</v>
      </c>
      <c r="L13" s="47">
        <f>L14+L15+L16+L17+L18+L19</f>
        <v>0</v>
      </c>
      <c r="M13" s="38">
        <f>SUM(M14:M19)</f>
        <v>5339200</v>
      </c>
    </row>
    <row r="14" spans="1:13">
      <c r="A14" s="12"/>
      <c r="B14" s="1" t="s">
        <v>3</v>
      </c>
      <c r="C14" s="27">
        <v>33</v>
      </c>
      <c r="D14" s="27"/>
      <c r="E14" s="27">
        <f>C14</f>
        <v>33</v>
      </c>
      <c r="F14" s="27">
        <f>C14*15</f>
        <v>495</v>
      </c>
      <c r="G14" s="27"/>
      <c r="H14" s="30">
        <f>F14</f>
        <v>495</v>
      </c>
      <c r="I14" s="30">
        <f t="shared" ref="I14:I19" si="1">H14+E14</f>
        <v>528</v>
      </c>
      <c r="J14" s="30">
        <f t="shared" ref="J14:J19" si="2">3200*I14</f>
        <v>1689600</v>
      </c>
      <c r="K14" s="30">
        <f t="shared" si="0"/>
        <v>792000</v>
      </c>
      <c r="L14" s="46"/>
      <c r="M14" s="43">
        <f t="shared" ref="M14:M19" si="3">J14+K14</f>
        <v>2481600</v>
      </c>
    </row>
    <row r="15" spans="1:13">
      <c r="A15" s="12"/>
      <c r="B15" s="1" t="s">
        <v>6</v>
      </c>
      <c r="C15" s="27"/>
      <c r="D15" s="27">
        <v>14</v>
      </c>
      <c r="E15" s="27">
        <f>D15</f>
        <v>14</v>
      </c>
      <c r="F15" s="27"/>
      <c r="G15" s="27">
        <f>D15*15</f>
        <v>210</v>
      </c>
      <c r="H15" s="30">
        <f>G15</f>
        <v>210</v>
      </c>
      <c r="I15" s="30">
        <f t="shared" si="1"/>
        <v>224</v>
      </c>
      <c r="J15" s="30">
        <f t="shared" si="2"/>
        <v>716800</v>
      </c>
      <c r="K15" s="30">
        <f t="shared" si="0"/>
        <v>336000</v>
      </c>
      <c r="L15" s="46"/>
      <c r="M15" s="43">
        <f t="shared" si="3"/>
        <v>1052800</v>
      </c>
    </row>
    <row r="16" spans="1:13">
      <c r="A16" s="12"/>
      <c r="B16" s="1" t="s">
        <v>5</v>
      </c>
      <c r="C16" s="27"/>
      <c r="D16" s="27">
        <v>20</v>
      </c>
      <c r="E16" s="27">
        <f>D16</f>
        <v>20</v>
      </c>
      <c r="F16" s="27"/>
      <c r="G16" s="27">
        <f>D16*15</f>
        <v>300</v>
      </c>
      <c r="H16" s="30">
        <f>G16</f>
        <v>300</v>
      </c>
      <c r="I16" s="30">
        <f t="shared" si="1"/>
        <v>320</v>
      </c>
      <c r="J16" s="30">
        <f t="shared" si="2"/>
        <v>1024000</v>
      </c>
      <c r="K16" s="30">
        <f t="shared" si="0"/>
        <v>480000</v>
      </c>
      <c r="L16" s="46"/>
      <c r="M16" s="43">
        <f t="shared" si="3"/>
        <v>1504000</v>
      </c>
    </row>
    <row r="17" spans="1:13">
      <c r="A17" s="12"/>
      <c r="B17" s="2" t="s">
        <v>7</v>
      </c>
      <c r="C17" s="27"/>
      <c r="D17" s="27">
        <v>1</v>
      </c>
      <c r="E17" s="27">
        <f>D17</f>
        <v>1</v>
      </c>
      <c r="F17" s="27"/>
      <c r="G17" s="27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7"/>
      <c r="D18" s="27">
        <v>2</v>
      </c>
      <c r="E18" s="27">
        <f>D18</f>
        <v>2</v>
      </c>
      <c r="F18" s="27"/>
      <c r="G18" s="27">
        <f>D18*15</f>
        <v>30</v>
      </c>
      <c r="H18" s="30">
        <f>G18</f>
        <v>30</v>
      </c>
      <c r="I18" s="30">
        <f t="shared" si="1"/>
        <v>32</v>
      </c>
      <c r="J18" s="30">
        <f t="shared" si="2"/>
        <v>102400</v>
      </c>
      <c r="K18" s="30">
        <f t="shared" si="0"/>
        <v>48000</v>
      </c>
      <c r="L18" s="46"/>
      <c r="M18" s="43">
        <f t="shared" si="3"/>
        <v>150400</v>
      </c>
    </row>
    <row r="19" spans="1:13">
      <c r="A19" s="14"/>
      <c r="B19" s="23" t="s">
        <v>4</v>
      </c>
      <c r="C19" s="27"/>
      <c r="D19" s="27">
        <v>1</v>
      </c>
      <c r="E19" s="27">
        <f>D19</f>
        <v>1</v>
      </c>
      <c r="F19" s="27"/>
      <c r="G19" s="27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131</v>
      </c>
      <c r="E20" s="37">
        <f>E21</f>
        <v>131</v>
      </c>
      <c r="F20" s="37"/>
      <c r="G20" s="37">
        <f t="shared" ref="G20:M20" si="4">G21</f>
        <v>2219</v>
      </c>
      <c r="H20" s="37">
        <f t="shared" si="4"/>
        <v>2219</v>
      </c>
      <c r="I20" s="37">
        <f t="shared" si="4"/>
        <v>2359</v>
      </c>
      <c r="J20" s="37">
        <f t="shared" si="4"/>
        <v>7548800</v>
      </c>
      <c r="K20" s="37">
        <f t="shared" si="4"/>
        <v>0</v>
      </c>
      <c r="L20" s="47">
        <f t="shared" si="4"/>
        <v>0</v>
      </c>
      <c r="M20" s="38">
        <f t="shared" si="4"/>
        <v>7548800</v>
      </c>
    </row>
    <row r="21" spans="1:13">
      <c r="A21" s="10"/>
      <c r="B21" s="24" t="s">
        <v>19</v>
      </c>
      <c r="C21" s="27"/>
      <c r="D21" s="27">
        <v>131</v>
      </c>
      <c r="E21" s="27">
        <f>D21</f>
        <v>131</v>
      </c>
      <c r="F21" s="27"/>
      <c r="G21" s="27">
        <v>2219</v>
      </c>
      <c r="H21" s="30">
        <f>G20</f>
        <v>2219</v>
      </c>
      <c r="I21" s="30">
        <v>2359</v>
      </c>
      <c r="J21" s="30">
        <f>3200*I21</f>
        <v>7548800</v>
      </c>
      <c r="K21" s="30"/>
      <c r="L21" s="46"/>
      <c r="M21" s="43">
        <f>J21+K21</f>
        <v>7548800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28</v>
      </c>
      <c r="H22" s="38">
        <f t="shared" si="5"/>
        <v>28</v>
      </c>
      <c r="I22" s="38">
        <f t="shared" si="5"/>
        <v>29</v>
      </c>
      <c r="J22" s="38">
        <f t="shared" si="5"/>
        <v>92800</v>
      </c>
      <c r="K22" s="38">
        <f t="shared" si="5"/>
        <v>44800</v>
      </c>
      <c r="L22" s="47">
        <f t="shared" si="5"/>
        <v>0</v>
      </c>
      <c r="M22" s="44">
        <f t="shared" si="5"/>
        <v>137600</v>
      </c>
    </row>
    <row r="23" spans="1:13">
      <c r="A23" s="15"/>
      <c r="B23" s="3" t="s">
        <v>9</v>
      </c>
      <c r="C23" s="27"/>
      <c r="D23" s="27">
        <v>1</v>
      </c>
      <c r="E23" s="27">
        <f>D22</f>
        <v>1</v>
      </c>
      <c r="F23" s="27"/>
      <c r="G23" s="27">
        <v>28</v>
      </c>
      <c r="H23" s="30">
        <f>G22</f>
        <v>28</v>
      </c>
      <c r="I23" s="27">
        <v>29</v>
      </c>
      <c r="J23" s="30">
        <f>3200*I23</f>
        <v>92800</v>
      </c>
      <c r="K23" s="30">
        <f>1600*H23</f>
        <v>44800</v>
      </c>
      <c r="L23" s="46"/>
      <c r="M23" s="43">
        <f>J23+K23</f>
        <v>137600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7"/>
      <c r="D25" s="27">
        <v>1</v>
      </c>
      <c r="E25" s="27">
        <f>D24</f>
        <v>1</v>
      </c>
      <c r="F25" s="27"/>
      <c r="G25" s="27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7"/>
      <c r="D27" s="27">
        <v>1</v>
      </c>
      <c r="E27" s="27">
        <f>D26</f>
        <v>1</v>
      </c>
      <c r="F27" s="27"/>
      <c r="G27" s="27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7</v>
      </c>
      <c r="E28" s="37">
        <f>E29+E30</f>
        <v>10</v>
      </c>
      <c r="F28" s="37">
        <f>F29</f>
        <v>68</v>
      </c>
      <c r="G28" s="37">
        <f>G30</f>
        <v>172</v>
      </c>
      <c r="H28" s="38">
        <f t="shared" ref="H28:M28" si="8">H29+H30</f>
        <v>240</v>
      </c>
      <c r="I28" s="38">
        <f t="shared" si="8"/>
        <v>250</v>
      </c>
      <c r="J28" s="38">
        <f t="shared" si="8"/>
        <v>800000</v>
      </c>
      <c r="K28" s="38">
        <f t="shared" si="8"/>
        <v>384000</v>
      </c>
      <c r="L28" s="48">
        <f t="shared" si="8"/>
        <v>0</v>
      </c>
      <c r="M28" s="216">
        <f t="shared" si="8"/>
        <v>1184000</v>
      </c>
    </row>
    <row r="29" spans="1:13">
      <c r="A29" s="12"/>
      <c r="B29" s="1" t="s">
        <v>3</v>
      </c>
      <c r="C29" s="27">
        <v>3</v>
      </c>
      <c r="D29" s="27"/>
      <c r="E29" s="27">
        <f>C29</f>
        <v>3</v>
      </c>
      <c r="F29" s="27">
        <v>68</v>
      </c>
      <c r="G29" s="27"/>
      <c r="H29" s="30">
        <f>F29</f>
        <v>68</v>
      </c>
      <c r="I29" s="30">
        <f>H29+E29</f>
        <v>71</v>
      </c>
      <c r="J29" s="30">
        <f>3200*I29</f>
        <v>227200</v>
      </c>
      <c r="K29" s="30">
        <f>1600*H29</f>
        <v>108800</v>
      </c>
      <c r="L29" s="46"/>
      <c r="M29" s="43">
        <f>J29+K29</f>
        <v>336000</v>
      </c>
    </row>
    <row r="30" spans="1:13">
      <c r="A30" s="12"/>
      <c r="B30" s="1" t="s">
        <v>11</v>
      </c>
      <c r="C30" s="27"/>
      <c r="D30" s="27">
        <v>7</v>
      </c>
      <c r="E30" s="27">
        <f>D30</f>
        <v>7</v>
      </c>
      <c r="F30" s="27"/>
      <c r="G30" s="30">
        <v>172</v>
      </c>
      <c r="H30" s="30">
        <f>G30</f>
        <v>172</v>
      </c>
      <c r="I30" s="30">
        <f>H30+E30</f>
        <v>179</v>
      </c>
      <c r="J30" s="30">
        <f>3200*I30</f>
        <v>572800</v>
      </c>
      <c r="K30" s="30">
        <f>1600*H30</f>
        <v>275200</v>
      </c>
      <c r="L30" s="46"/>
      <c r="M30" s="43">
        <f>J30+K30+M62</f>
        <v>848000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26</v>
      </c>
      <c r="E31" s="37">
        <f t="shared" si="9"/>
        <v>26</v>
      </c>
      <c r="F31" s="37">
        <f t="shared" si="9"/>
        <v>0</v>
      </c>
      <c r="G31" s="37">
        <f t="shared" si="9"/>
        <v>390</v>
      </c>
      <c r="H31" s="37">
        <f t="shared" si="9"/>
        <v>390</v>
      </c>
      <c r="I31" s="37">
        <f t="shared" si="9"/>
        <v>416</v>
      </c>
      <c r="J31" s="37">
        <f t="shared" si="9"/>
        <v>1331200</v>
      </c>
      <c r="K31" s="37">
        <f t="shared" si="9"/>
        <v>0</v>
      </c>
      <c r="L31" s="37">
        <f t="shared" si="9"/>
        <v>0</v>
      </c>
      <c r="M31" s="38">
        <f t="shared" si="9"/>
        <v>1331200</v>
      </c>
    </row>
    <row r="32" spans="1:13">
      <c r="A32" s="10"/>
      <c r="B32" s="24" t="s">
        <v>19</v>
      </c>
      <c r="C32" s="27"/>
      <c r="D32" s="27">
        <v>26</v>
      </c>
      <c r="E32" s="27">
        <f>D32</f>
        <v>26</v>
      </c>
      <c r="F32" s="27"/>
      <c r="G32" s="27">
        <f>E32*15</f>
        <v>390</v>
      </c>
      <c r="H32" s="30">
        <f>G32</f>
        <v>390</v>
      </c>
      <c r="I32" s="30">
        <f>H32+E32</f>
        <v>416</v>
      </c>
      <c r="J32" s="30">
        <f>3200*I32</f>
        <v>1331200</v>
      </c>
      <c r="K32" s="30"/>
      <c r="L32" s="46"/>
      <c r="M32" s="43">
        <f>J32+K32</f>
        <v>1331200</v>
      </c>
    </row>
    <row r="33" spans="1:13">
      <c r="A33" s="36">
        <v>9</v>
      </c>
      <c r="B33" s="33" t="s">
        <v>27</v>
      </c>
      <c r="C33" s="37">
        <f>C34</f>
        <v>13</v>
      </c>
      <c r="D33" s="37">
        <f>D35+D36</f>
        <v>11</v>
      </c>
      <c r="E33" s="37">
        <f>E34+E35+E36</f>
        <v>24</v>
      </c>
      <c r="F33" s="37">
        <f>F34</f>
        <v>345</v>
      </c>
      <c r="G33" s="37">
        <f>G35+G36</f>
        <v>290</v>
      </c>
      <c r="H33" s="38">
        <f t="shared" ref="H33:M33" si="10">H34+H35+H36</f>
        <v>635</v>
      </c>
      <c r="I33" s="38">
        <f t="shared" si="10"/>
        <v>660</v>
      </c>
      <c r="J33" s="35">
        <f t="shared" si="10"/>
        <v>2163200</v>
      </c>
      <c r="K33" s="35">
        <f t="shared" si="10"/>
        <v>918400</v>
      </c>
      <c r="L33" s="47">
        <f t="shared" si="10"/>
        <v>0</v>
      </c>
      <c r="M33" s="216">
        <f t="shared" si="10"/>
        <v>3124800</v>
      </c>
    </row>
    <row r="34" spans="1:13">
      <c r="A34" s="12"/>
      <c r="B34" s="1" t="s">
        <v>3</v>
      </c>
      <c r="C34" s="27">
        <v>13</v>
      </c>
      <c r="D34" s="27"/>
      <c r="E34" s="27">
        <f>C34</f>
        <v>13</v>
      </c>
      <c r="F34" s="27">
        <v>345</v>
      </c>
      <c r="G34" s="27"/>
      <c r="H34" s="30">
        <f>F34</f>
        <v>345</v>
      </c>
      <c r="I34" s="30">
        <f>H34+E34</f>
        <v>358</v>
      </c>
      <c r="J34" s="30">
        <f>3200*I34</f>
        <v>1145600</v>
      </c>
      <c r="K34" s="30">
        <f>1600*H34</f>
        <v>552000</v>
      </c>
      <c r="L34" s="46"/>
      <c r="M34" s="43">
        <f>J34+K34</f>
        <v>1697600</v>
      </c>
    </row>
    <row r="35" spans="1:13">
      <c r="A35" s="13"/>
      <c r="B35" s="1" t="s">
        <v>12</v>
      </c>
      <c r="C35" s="27"/>
      <c r="D35" s="27">
        <v>9</v>
      </c>
      <c r="E35" s="27">
        <f>D35</f>
        <v>9</v>
      </c>
      <c r="F35" s="27"/>
      <c r="G35" s="27">
        <v>229</v>
      </c>
      <c r="H35" s="30">
        <f>G35</f>
        <v>229</v>
      </c>
      <c r="I35" s="30">
        <f>H35+E35</f>
        <v>238</v>
      </c>
      <c r="J35" s="30">
        <f>3200*I35</f>
        <v>761600</v>
      </c>
      <c r="K35" s="30">
        <f>1600*H35</f>
        <v>366400</v>
      </c>
      <c r="L35" s="46"/>
      <c r="M35" s="43">
        <f>J35+K35+M63</f>
        <v>1171200</v>
      </c>
    </row>
    <row r="36" spans="1:13">
      <c r="A36" s="13"/>
      <c r="B36" s="96" t="s">
        <v>128</v>
      </c>
      <c r="C36" s="27"/>
      <c r="D36" s="27">
        <v>2</v>
      </c>
      <c r="E36" s="27">
        <f>D36</f>
        <v>2</v>
      </c>
      <c r="F36" s="27"/>
      <c r="G36" s="27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24</v>
      </c>
      <c r="E37" s="37">
        <f>E38</f>
        <v>24</v>
      </c>
      <c r="F37" s="37"/>
      <c r="G37" s="37">
        <f t="shared" ref="G37:M37" si="11">G38</f>
        <v>386</v>
      </c>
      <c r="H37" s="38">
        <f t="shared" si="11"/>
        <v>386</v>
      </c>
      <c r="I37" s="38">
        <f t="shared" si="11"/>
        <v>410</v>
      </c>
      <c r="J37" s="38">
        <f t="shared" si="11"/>
        <v>1640000</v>
      </c>
      <c r="K37" s="38">
        <f t="shared" si="11"/>
        <v>0</v>
      </c>
      <c r="L37" s="48">
        <f t="shared" si="11"/>
        <v>0</v>
      </c>
      <c r="M37" s="216">
        <f t="shared" si="11"/>
        <v>1640000</v>
      </c>
    </row>
    <row r="38" spans="1:13">
      <c r="A38" s="13"/>
      <c r="B38" s="96" t="s">
        <v>128</v>
      </c>
      <c r="C38" s="27"/>
      <c r="D38" s="27">
        <v>24</v>
      </c>
      <c r="E38" s="27">
        <f>D38</f>
        <v>24</v>
      </c>
      <c r="F38" s="27"/>
      <c r="G38" s="27">
        <v>386</v>
      </c>
      <c r="H38" s="30">
        <f>G38</f>
        <v>386</v>
      </c>
      <c r="I38" s="30">
        <f>H38+E38</f>
        <v>410</v>
      </c>
      <c r="J38" s="30">
        <f>4000*I38</f>
        <v>1640000</v>
      </c>
      <c r="K38" s="30"/>
      <c r="L38" s="46"/>
      <c r="M38" s="43">
        <f>J38+K38</f>
        <v>1640000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40</v>
      </c>
      <c r="H39" s="38">
        <f t="shared" si="12"/>
        <v>40</v>
      </c>
      <c r="I39" s="38">
        <f t="shared" si="12"/>
        <v>42</v>
      </c>
      <c r="J39" s="45">
        <f t="shared" si="12"/>
        <v>180600</v>
      </c>
      <c r="K39" s="45">
        <f t="shared" si="12"/>
        <v>60000</v>
      </c>
      <c r="L39" s="47">
        <f t="shared" si="12"/>
        <v>0</v>
      </c>
      <c r="M39" s="216">
        <f t="shared" si="12"/>
        <v>240600</v>
      </c>
    </row>
    <row r="40" spans="1:13">
      <c r="A40" s="9"/>
      <c r="B40" s="24" t="s">
        <v>13</v>
      </c>
      <c r="C40" s="27"/>
      <c r="D40" s="27"/>
      <c r="E40" s="27">
        <f>D40</f>
        <v>0</v>
      </c>
      <c r="F40" s="27"/>
      <c r="G40" s="27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7"/>
      <c r="D41" s="27">
        <v>1</v>
      </c>
      <c r="E41" s="27">
        <f>D41</f>
        <v>1</v>
      </c>
      <c r="F41" s="27"/>
      <c r="G41" s="27">
        <f>E41*40</f>
        <v>40</v>
      </c>
      <c r="H41" s="30">
        <f>G41</f>
        <v>40</v>
      </c>
      <c r="I41" s="30">
        <f>E41*42</f>
        <v>42</v>
      </c>
      <c r="J41" s="30">
        <f>4300*I41</f>
        <v>180600</v>
      </c>
      <c r="K41" s="30">
        <f>1500*H41</f>
        <v>60000</v>
      </c>
      <c r="L41" s="46"/>
      <c r="M41" s="43">
        <f>J41+K41</f>
        <v>240600</v>
      </c>
    </row>
    <row r="42" spans="1:13">
      <c r="A42" s="9"/>
      <c r="B42" s="24" t="s">
        <v>15</v>
      </c>
      <c r="C42" s="27"/>
      <c r="D42" s="27"/>
      <c r="E42" s="27">
        <f>D42</f>
        <v>0</v>
      </c>
      <c r="F42" s="27"/>
      <c r="G42" s="27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7"/>
      <c r="D43" s="27"/>
      <c r="E43" s="27">
        <f>D43</f>
        <v>0</v>
      </c>
      <c r="F43" s="27"/>
      <c r="G43" s="27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7"/>
      <c r="D45" s="27">
        <v>1</v>
      </c>
      <c r="E45" s="27">
        <f t="shared" ref="E45:E51" si="14">D45</f>
        <v>1</v>
      </c>
      <c r="F45" s="27"/>
      <c r="G45" s="27">
        <f>D45*40</f>
        <v>40</v>
      </c>
      <c r="H45" s="30">
        <f>G45</f>
        <v>40</v>
      </c>
      <c r="I45" s="27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7"/>
      <c r="D46" s="27">
        <v>1</v>
      </c>
      <c r="E46" s="27">
        <f t="shared" si="14"/>
        <v>1</v>
      </c>
      <c r="F46" s="27"/>
      <c r="G46" s="27">
        <f>D46*40</f>
        <v>40</v>
      </c>
      <c r="H46" s="30">
        <f>G46</f>
        <v>40</v>
      </c>
      <c r="I46" s="27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3</v>
      </c>
      <c r="E47" s="37">
        <f t="shared" si="14"/>
        <v>3</v>
      </c>
      <c r="F47" s="37"/>
      <c r="G47" s="37">
        <f t="shared" ref="G47:M47" si="15">G48</f>
        <v>84</v>
      </c>
      <c r="H47" s="38">
        <f t="shared" si="15"/>
        <v>84</v>
      </c>
      <c r="I47" s="38">
        <f t="shared" si="15"/>
        <v>87</v>
      </c>
      <c r="J47" s="38">
        <f t="shared" si="15"/>
        <v>374100</v>
      </c>
      <c r="K47" s="38">
        <f t="shared" si="15"/>
        <v>210000</v>
      </c>
      <c r="L47" s="48">
        <f t="shared" si="15"/>
        <v>0</v>
      </c>
      <c r="M47" s="216">
        <f t="shared" si="15"/>
        <v>584100</v>
      </c>
    </row>
    <row r="48" spans="1:13">
      <c r="A48" s="19"/>
      <c r="B48" s="26" t="s">
        <v>17</v>
      </c>
      <c r="C48" s="27"/>
      <c r="D48" s="27">
        <v>3</v>
      </c>
      <c r="E48" s="27">
        <f t="shared" si="14"/>
        <v>3</v>
      </c>
      <c r="F48" s="27"/>
      <c r="G48" s="27">
        <f>D48*28</f>
        <v>84</v>
      </c>
      <c r="H48" s="30">
        <f>G48</f>
        <v>84</v>
      </c>
      <c r="I48" s="30">
        <f>H48+E48</f>
        <v>87</v>
      </c>
      <c r="J48" s="30">
        <f>4300*I48</f>
        <v>374100</v>
      </c>
      <c r="K48" s="30">
        <f>2500*H48</f>
        <v>210000</v>
      </c>
      <c r="L48" s="46"/>
      <c r="M48" s="43">
        <f>J48+K48</f>
        <v>584100</v>
      </c>
    </row>
    <row r="49" spans="1:13">
      <c r="A49" s="36">
        <v>14</v>
      </c>
      <c r="B49" s="33" t="s">
        <v>30</v>
      </c>
      <c r="C49" s="37"/>
      <c r="D49" s="37">
        <f>D50+D51</f>
        <v>8</v>
      </c>
      <c r="E49" s="37">
        <f>E50+E51</f>
        <v>8</v>
      </c>
      <c r="F49" s="37"/>
      <c r="G49" s="37">
        <f t="shared" ref="G49:M49" si="16">G50+G51</f>
        <v>159</v>
      </c>
      <c r="H49" s="37">
        <f t="shared" si="16"/>
        <v>159</v>
      </c>
      <c r="I49" s="37">
        <f t="shared" si="16"/>
        <v>167</v>
      </c>
      <c r="J49" s="37">
        <f t="shared" si="16"/>
        <v>644800</v>
      </c>
      <c r="K49" s="37">
        <f t="shared" si="16"/>
        <v>44800</v>
      </c>
      <c r="L49" s="37">
        <f t="shared" si="16"/>
        <v>0</v>
      </c>
      <c r="M49" s="219">
        <f t="shared" si="16"/>
        <v>689600</v>
      </c>
    </row>
    <row r="50" spans="1:13">
      <c r="A50" s="152"/>
      <c r="B50" s="155" t="s">
        <v>155</v>
      </c>
      <c r="C50" s="153"/>
      <c r="D50" s="153">
        <v>1</v>
      </c>
      <c r="E50" s="27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7"/>
      <c r="D51" s="27">
        <v>7</v>
      </c>
      <c r="E51" s="27">
        <f t="shared" si="14"/>
        <v>7</v>
      </c>
      <c r="F51" s="27"/>
      <c r="G51" s="153">
        <v>131</v>
      </c>
      <c r="H51" s="30">
        <f>G51</f>
        <v>131</v>
      </c>
      <c r="I51" s="30">
        <f>H51+E51</f>
        <v>138</v>
      </c>
      <c r="J51" s="30">
        <f>4000*I51</f>
        <v>552000</v>
      </c>
      <c r="K51" s="30"/>
      <c r="L51" s="46"/>
      <c r="M51" s="43">
        <f>J51+K51+(L51*15000)</f>
        <v>552000</v>
      </c>
    </row>
    <row r="52" spans="1:13">
      <c r="A52" s="36">
        <v>15</v>
      </c>
      <c r="B52" s="41" t="s">
        <v>214</v>
      </c>
      <c r="C52" s="37">
        <f t="shared" ref="C52:H52" si="17">C53</f>
        <v>0</v>
      </c>
      <c r="D52" s="37">
        <f t="shared" si="17"/>
        <v>1</v>
      </c>
      <c r="E52" s="37">
        <f t="shared" si="17"/>
        <v>1</v>
      </c>
      <c r="F52" s="37">
        <f t="shared" si="17"/>
        <v>0</v>
      </c>
      <c r="G52" s="37">
        <f t="shared" si="17"/>
        <v>42</v>
      </c>
      <c r="H52" s="37">
        <f t="shared" si="17"/>
        <v>42</v>
      </c>
      <c r="I52" s="38">
        <f t="shared" ref="H52:M54" si="18">I53</f>
        <v>44</v>
      </c>
      <c r="J52" s="38">
        <f t="shared" si="18"/>
        <v>245960</v>
      </c>
      <c r="K52" s="38">
        <f t="shared" si="18"/>
        <v>134400</v>
      </c>
      <c r="L52" s="48">
        <f t="shared" si="18"/>
        <v>0</v>
      </c>
      <c r="M52" s="44">
        <f t="shared" si="18"/>
        <v>380360</v>
      </c>
    </row>
    <row r="53" spans="1:13">
      <c r="A53" s="14"/>
      <c r="B53" s="96" t="s">
        <v>215</v>
      </c>
      <c r="C53" s="29"/>
      <c r="D53" s="29">
        <v>1</v>
      </c>
      <c r="E53" s="29">
        <f>D53</f>
        <v>1</v>
      </c>
      <c r="F53" s="29"/>
      <c r="G53" s="29">
        <v>42</v>
      </c>
      <c r="H53" s="31">
        <f>G53</f>
        <v>42</v>
      </c>
      <c r="I53" s="31">
        <f>H53+E53*2</f>
        <v>44</v>
      </c>
      <c r="J53" s="30">
        <f>5590*I53</f>
        <v>245960</v>
      </c>
      <c r="K53" s="30">
        <f>3200*H53</f>
        <v>134400</v>
      </c>
      <c r="L53" s="49"/>
      <c r="M53" s="43">
        <f>J53+K53</f>
        <v>380360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8"/>
        <v>0</v>
      </c>
      <c r="I54" s="38">
        <f t="shared" si="18"/>
        <v>0</v>
      </c>
      <c r="J54" s="38">
        <f t="shared" si="18"/>
        <v>0</v>
      </c>
      <c r="K54" s="38">
        <f t="shared" si="18"/>
        <v>0</v>
      </c>
      <c r="L54" s="48">
        <f t="shared" si="18"/>
        <v>0</v>
      </c>
      <c r="M54" s="44">
        <f t="shared" si="18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/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9">C57</f>
        <v>0</v>
      </c>
      <c r="D56" s="81">
        <f t="shared" si="19"/>
        <v>1</v>
      </c>
      <c r="E56" s="81">
        <f t="shared" si="19"/>
        <v>1</v>
      </c>
      <c r="F56" s="81">
        <f t="shared" si="19"/>
        <v>0</v>
      </c>
      <c r="G56" s="81">
        <f t="shared" si="19"/>
        <v>38</v>
      </c>
      <c r="H56" s="170">
        <f t="shared" si="19"/>
        <v>38</v>
      </c>
      <c r="I56" s="170">
        <f t="shared" si="19"/>
        <v>40</v>
      </c>
      <c r="J56" s="170">
        <f t="shared" si="19"/>
        <v>260000</v>
      </c>
      <c r="K56" s="170">
        <f t="shared" si="19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235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140800</v>
      </c>
      <c r="L58" s="81">
        <f>L59+L63</f>
        <v>1</v>
      </c>
      <c r="M58" s="217">
        <f>M59</f>
        <v>338600</v>
      </c>
    </row>
    <row r="59" spans="1:13">
      <c r="A59" s="14"/>
      <c r="B59" s="20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3200*H59</f>
        <v>140800</v>
      </c>
      <c r="L59" s="49"/>
      <c r="M59" s="80">
        <f>J59+K59</f>
        <v>338600</v>
      </c>
    </row>
    <row r="60" spans="1:13">
      <c r="A60" s="211">
        <v>19</v>
      </c>
      <c r="B60" s="212" t="s">
        <v>216</v>
      </c>
      <c r="C60" s="209">
        <f t="shared" ref="C60:K60" si="20">C61</f>
        <v>0</v>
      </c>
      <c r="D60" s="209">
        <f t="shared" si="20"/>
        <v>0</v>
      </c>
      <c r="E60" s="209">
        <f t="shared" si="20"/>
        <v>0</v>
      </c>
      <c r="F60" s="209">
        <f t="shared" si="20"/>
        <v>0</v>
      </c>
      <c r="G60" s="209">
        <f t="shared" si="20"/>
        <v>0</v>
      </c>
      <c r="H60" s="210">
        <f t="shared" si="20"/>
        <v>0</v>
      </c>
      <c r="I60" s="210">
        <f t="shared" si="20"/>
        <v>0</v>
      </c>
      <c r="J60" s="210">
        <f t="shared" si="20"/>
        <v>0</v>
      </c>
      <c r="K60" s="210">
        <f t="shared" si="20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50</v>
      </c>
      <c r="D64" s="42">
        <f>D8+D13+D20+D22+D24+D26+D28+D31+D33+D37+D39+D44+D47+D49+D52+D54+D56+D58</f>
        <v>266</v>
      </c>
      <c r="E64" s="42">
        <f>E8+E13+E20+E22+E24+E26+E28+E31+E33+E37+E39+E44+E47+E49+E52+E54+E56+E58+E60</f>
        <v>316</v>
      </c>
      <c r="F64" s="42">
        <f>F8+F13+F28+F33+F60</f>
        <v>932</v>
      </c>
      <c r="G64" s="42">
        <f>G8+G13+G20+G22+G24+G26+G28+G31+G33+G37+G39+G44+G47+G49+G52+G54+G56+G58</f>
        <v>4855</v>
      </c>
      <c r="H64" s="42">
        <f>H8+H13+H20+H22+H24+H26+H28+H31+H33+H37+H39+H44+H47+H49+H52+H54+H56+H58+H60</f>
        <v>5787</v>
      </c>
      <c r="I64" s="42">
        <f>I8+I13+I20+I22+I24+I26+I28+I31+I33+I37+I39+I44+I47+I49+I52+I54+I56+I58+I60</f>
        <v>6120</v>
      </c>
      <c r="J64" s="42">
        <f>J8+J13+J20+J22+J24+J26+J28+J31+J33+J37+J39+J44+J47+J49+J52+J54+J56+J58</f>
        <v>20740820</v>
      </c>
      <c r="K64" s="42">
        <f>K8+K13+K20+K22+K24+K26+K28+K31+K33+K37+K39+K44+K47+K49+K52+K54+K56+K58</f>
        <v>4287000</v>
      </c>
      <c r="L64" s="50"/>
      <c r="M64" s="42">
        <f>M8+M13+M20+M22+M24+M26+M28+M31+M33+M37+M39+M44+M47+M49+M52+M54+M56+M58+M60+M65+M66</f>
        <v>25176020</v>
      </c>
    </row>
    <row r="65" spans="2:13" ht="14.25" thickTop="1" thickBot="1">
      <c r="D65" s="337"/>
      <c r="E65" s="337"/>
      <c r="J65" s="115"/>
      <c r="K65" s="149" t="s">
        <v>96</v>
      </c>
      <c r="L65" s="147">
        <v>3</v>
      </c>
      <c r="M65" s="149">
        <f>20000*L65</f>
        <v>60000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3</v>
      </c>
      <c r="M66" s="150">
        <f>15000*L66</f>
        <v>45000</v>
      </c>
    </row>
    <row r="67" spans="2:13">
      <c r="B67" s="144" t="s">
        <v>74</v>
      </c>
      <c r="C67" s="131">
        <f>F67+G67</f>
        <v>16</v>
      </c>
      <c r="D67" s="340">
        <f>C67*25000</f>
        <v>400000</v>
      </c>
      <c r="E67" s="341"/>
      <c r="F67" s="131">
        <v>0</v>
      </c>
      <c r="G67" s="145">
        <v>16</v>
      </c>
      <c r="H67" s="119"/>
      <c r="K67" s="97" t="s">
        <v>32</v>
      </c>
      <c r="L67" s="4">
        <f>L65+L66</f>
        <v>6</v>
      </c>
    </row>
    <row r="68" spans="2:13" ht="13.5" thickBot="1">
      <c r="B68" s="120" t="s">
        <v>75</v>
      </c>
      <c r="C68" s="131">
        <f t="shared" ref="C68:C74" si="21">F68+G68</f>
        <v>7</v>
      </c>
      <c r="D68" s="342">
        <f>C68*30000</f>
        <v>210000</v>
      </c>
      <c r="E68" s="343"/>
      <c r="F68" s="122">
        <v>5</v>
      </c>
      <c r="G68" s="139">
        <v>2</v>
      </c>
      <c r="H68" s="135"/>
      <c r="I68" s="102"/>
      <c r="J68" s="102"/>
      <c r="L68" s="4"/>
    </row>
    <row r="69" spans="2:13">
      <c r="B69" s="120" t="s">
        <v>76</v>
      </c>
      <c r="C69" s="131">
        <f t="shared" si="21"/>
        <v>4</v>
      </c>
      <c r="D69" s="329">
        <f>C69*35000</f>
        <v>140000</v>
      </c>
      <c r="E69" s="330"/>
      <c r="F69" s="121">
        <v>1</v>
      </c>
      <c r="G69" s="138">
        <v>3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1"/>
        <v>17</v>
      </c>
      <c r="D70" s="329">
        <f>C70*20000</f>
        <v>340000</v>
      </c>
      <c r="E70" s="330"/>
      <c r="F70" s="121">
        <v>8</v>
      </c>
      <c r="G70" s="138">
        <v>9</v>
      </c>
      <c r="H70" s="135"/>
      <c r="I70" s="97"/>
      <c r="K70" s="109" t="s">
        <v>132</v>
      </c>
      <c r="L70" s="163">
        <f>C77</f>
        <v>36.5</v>
      </c>
      <c r="M70" s="110">
        <f>D77</f>
        <v>1195280</v>
      </c>
    </row>
    <row r="71" spans="2:13">
      <c r="B71" s="120" t="s">
        <v>78</v>
      </c>
      <c r="C71" s="131">
        <f t="shared" si="21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107</v>
      </c>
      <c r="M71" s="112">
        <f>D78+D79</f>
        <v>1111000</v>
      </c>
    </row>
    <row r="72" spans="2:13" ht="13.5" thickBot="1">
      <c r="B72" s="120" t="s">
        <v>92</v>
      </c>
      <c r="C72" s="131">
        <f t="shared" si="21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46</v>
      </c>
      <c r="M72" s="114">
        <f>L72*20000</f>
        <v>920000</v>
      </c>
    </row>
    <row r="73" spans="2:13">
      <c r="B73" s="120" t="s">
        <v>123</v>
      </c>
      <c r="C73" s="131">
        <f t="shared" si="21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52</v>
      </c>
    </row>
    <row r="74" spans="2:13">
      <c r="B74" s="120" t="s">
        <v>124</v>
      </c>
      <c r="C74" s="131">
        <f t="shared" si="21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1</v>
      </c>
      <c r="D76" s="351">
        <f>47*2240</f>
        <v>105280</v>
      </c>
      <c r="E76" s="352"/>
      <c r="F76" s="128"/>
      <c r="G76" s="142">
        <v>1</v>
      </c>
      <c r="H76" s="119"/>
      <c r="I76" s="32"/>
      <c r="J76" s="32">
        <v>25176020</v>
      </c>
    </row>
    <row r="77" spans="2:13" ht="14.25" thickTop="1" thickBot="1">
      <c r="B77" s="132" t="s">
        <v>54</v>
      </c>
      <c r="C77" s="160">
        <f>C67+C68+C69+(C70/2)+C71+(C72/2)+C73+(C74/2)+C75+C76</f>
        <v>36.5</v>
      </c>
      <c r="D77" s="344">
        <f>SUM(D67:E76)</f>
        <v>1195280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36</v>
      </c>
      <c r="D78" s="346">
        <v>381000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71</v>
      </c>
      <c r="D79" s="348">
        <v>730000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1:E71"/>
    <mergeCell ref="D72:E72"/>
    <mergeCell ref="D77:E77"/>
    <mergeCell ref="D78:E78"/>
    <mergeCell ref="D79:E79"/>
    <mergeCell ref="D73:E73"/>
    <mergeCell ref="D74:E74"/>
    <mergeCell ref="D75:E75"/>
    <mergeCell ref="D76:E76"/>
    <mergeCell ref="D70:E70"/>
    <mergeCell ref="A5:M5"/>
    <mergeCell ref="C6:E6"/>
    <mergeCell ref="F6:I6"/>
    <mergeCell ref="J6:J7"/>
    <mergeCell ref="K6:K7"/>
    <mergeCell ref="L6:L7"/>
    <mergeCell ref="M6:M7"/>
    <mergeCell ref="D65:E65"/>
    <mergeCell ref="D66:E66"/>
    <mergeCell ref="D67:E67"/>
    <mergeCell ref="D68:E68"/>
    <mergeCell ref="D69:E69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0"/>
  <sheetViews>
    <sheetView topLeftCell="A54" workbookViewId="0">
      <selection activeCell="D77" sqref="D77:E77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7" t="s">
        <v>35</v>
      </c>
      <c r="D7" s="27" t="s">
        <v>36</v>
      </c>
      <c r="E7" s="27" t="s">
        <v>32</v>
      </c>
      <c r="F7" s="27" t="s">
        <v>34</v>
      </c>
      <c r="G7" s="27" t="s">
        <v>37</v>
      </c>
      <c r="H7" s="28" t="s">
        <v>39</v>
      </c>
      <c r="I7" s="27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3</v>
      </c>
      <c r="D8" s="34">
        <f>D10+D11+D12</f>
        <v>15</v>
      </c>
      <c r="E8" s="34">
        <f>SUM(E9:E12)</f>
        <v>18</v>
      </c>
      <c r="F8" s="34">
        <f>F9</f>
        <v>70</v>
      </c>
      <c r="G8" s="34">
        <f>G10+G11+G12</f>
        <v>426</v>
      </c>
      <c r="H8" s="35">
        <f>SUM(H9:H12)</f>
        <v>496</v>
      </c>
      <c r="I8" s="35">
        <f>SUM(I9:I12)</f>
        <v>515</v>
      </c>
      <c r="J8" s="35">
        <f>SUM(J9:J12)</f>
        <v>1684800</v>
      </c>
      <c r="K8" s="35">
        <f>SUM(K9:K12)</f>
        <v>723200</v>
      </c>
      <c r="L8" s="34">
        <f>L9+L10+L11+L12</f>
        <v>0</v>
      </c>
      <c r="M8" s="35">
        <f>SUM(M9:M12)</f>
        <v>2408000</v>
      </c>
    </row>
    <row r="9" spans="1:13">
      <c r="A9" s="8"/>
      <c r="B9" s="1" t="s">
        <v>3</v>
      </c>
      <c r="C9" s="27">
        <v>3</v>
      </c>
      <c r="D9" s="27"/>
      <c r="E9" s="27">
        <f>C9</f>
        <v>3</v>
      </c>
      <c r="F9" s="27">
        <v>70</v>
      </c>
      <c r="G9" s="27"/>
      <c r="H9" s="30">
        <f>F9</f>
        <v>70</v>
      </c>
      <c r="I9" s="30">
        <f>H9+E9</f>
        <v>73</v>
      </c>
      <c r="J9" s="30">
        <f>3200*I9</f>
        <v>233600</v>
      </c>
      <c r="K9" s="30">
        <f>1600*H9</f>
        <v>112000</v>
      </c>
      <c r="L9" s="46"/>
      <c r="M9" s="43">
        <f>J9+K9</f>
        <v>345600</v>
      </c>
    </row>
    <row r="10" spans="1:13">
      <c r="A10" s="9"/>
      <c r="B10" s="1" t="s">
        <v>6</v>
      </c>
      <c r="C10" s="27"/>
      <c r="D10" s="27">
        <v>12</v>
      </c>
      <c r="E10" s="27">
        <f>D10</f>
        <v>12</v>
      </c>
      <c r="F10" s="27"/>
      <c r="G10" s="27">
        <v>326</v>
      </c>
      <c r="H10" s="30">
        <f>G10</f>
        <v>326</v>
      </c>
      <c r="I10" s="30">
        <f>H10+E10</f>
        <v>338</v>
      </c>
      <c r="J10" s="30">
        <f>3200*I10</f>
        <v>1081600</v>
      </c>
      <c r="K10" s="30">
        <f t="shared" ref="K10:K19" si="0">1600*H10</f>
        <v>521600</v>
      </c>
      <c r="L10" s="46"/>
      <c r="M10" s="43">
        <f>J10+K10</f>
        <v>1603200</v>
      </c>
    </row>
    <row r="11" spans="1:13">
      <c r="A11" s="10"/>
      <c r="B11" s="1" t="s">
        <v>5</v>
      </c>
      <c r="C11" s="27"/>
      <c r="D11" s="27">
        <v>2</v>
      </c>
      <c r="E11" s="27">
        <f>D11</f>
        <v>2</v>
      </c>
      <c r="F11" s="27"/>
      <c r="G11" s="27">
        <v>56</v>
      </c>
      <c r="H11" s="30">
        <f>G11</f>
        <v>56</v>
      </c>
      <c r="I11" s="30">
        <f>H11+E11</f>
        <v>58</v>
      </c>
      <c r="J11" s="30">
        <f>3200*I11</f>
        <v>185600</v>
      </c>
      <c r="K11" s="30">
        <f t="shared" si="0"/>
        <v>89600</v>
      </c>
      <c r="L11" s="46"/>
      <c r="M11" s="43">
        <f>J11+K11</f>
        <v>275200</v>
      </c>
    </row>
    <row r="12" spans="1:13">
      <c r="A12" s="11"/>
      <c r="B12" s="22" t="s">
        <v>125</v>
      </c>
      <c r="C12" s="27"/>
      <c r="D12" s="27">
        <v>1</v>
      </c>
      <c r="E12" s="27">
        <f>D12</f>
        <v>1</v>
      </c>
      <c r="F12" s="27"/>
      <c r="G12" s="27">
        <v>44</v>
      </c>
      <c r="H12" s="30">
        <f>G12</f>
        <v>44</v>
      </c>
      <c r="I12" s="30">
        <f>H12+E12*2</f>
        <v>46</v>
      </c>
      <c r="J12" s="30">
        <f>4000*I12</f>
        <v>184000</v>
      </c>
      <c r="K12" s="30"/>
      <c r="L12" s="46"/>
      <c r="M12" s="43">
        <f>J12+K12</f>
        <v>184000</v>
      </c>
    </row>
    <row r="13" spans="1:13">
      <c r="A13" s="36">
        <v>2</v>
      </c>
      <c r="B13" s="33" t="s">
        <v>21</v>
      </c>
      <c r="C13" s="37">
        <f>C14</f>
        <v>45</v>
      </c>
      <c r="D13" s="37">
        <f>D15+D16+D17+D18+D19</f>
        <v>29</v>
      </c>
      <c r="E13" s="37">
        <f>SUM(E14:E19)</f>
        <v>74</v>
      </c>
      <c r="F13" s="37">
        <f>F14</f>
        <v>675</v>
      </c>
      <c r="G13" s="37">
        <f>G15+G16+G17+G18+G19</f>
        <v>435</v>
      </c>
      <c r="H13" s="37">
        <f>SUM(H14:H19)</f>
        <v>1110</v>
      </c>
      <c r="I13" s="37">
        <f>SUM(I14:I19)</f>
        <v>1184</v>
      </c>
      <c r="J13" s="37">
        <f>SUM(J14:J19)</f>
        <v>3788800</v>
      </c>
      <c r="K13" s="37">
        <f>SUM(K14:K19)</f>
        <v>1776000</v>
      </c>
      <c r="L13" s="47">
        <f>L14+L15+L16+L17+L18+L19</f>
        <v>0</v>
      </c>
      <c r="M13" s="38">
        <f>SUM(M14:M19)</f>
        <v>5564800</v>
      </c>
    </row>
    <row r="14" spans="1:13">
      <c r="A14" s="12"/>
      <c r="B14" s="1" t="s">
        <v>3</v>
      </c>
      <c r="C14" s="27">
        <v>45</v>
      </c>
      <c r="D14" s="27"/>
      <c r="E14" s="27">
        <f>C14</f>
        <v>45</v>
      </c>
      <c r="F14" s="27">
        <f>C14*15</f>
        <v>675</v>
      </c>
      <c r="G14" s="27"/>
      <c r="H14" s="30">
        <f>F14</f>
        <v>675</v>
      </c>
      <c r="I14" s="30">
        <f t="shared" ref="I14:I19" si="1">H14+E14</f>
        <v>720</v>
      </c>
      <c r="J14" s="30">
        <f t="shared" ref="J14:J19" si="2">3200*I14</f>
        <v>2304000</v>
      </c>
      <c r="K14" s="30">
        <f t="shared" si="0"/>
        <v>1080000</v>
      </c>
      <c r="L14" s="46"/>
      <c r="M14" s="43">
        <f t="shared" ref="M14:M19" si="3">J14+K14</f>
        <v>3384000</v>
      </c>
    </row>
    <row r="15" spans="1:13">
      <c r="A15" s="12"/>
      <c r="B15" s="1" t="s">
        <v>6</v>
      </c>
      <c r="C15" s="27"/>
      <c r="D15" s="27">
        <v>8</v>
      </c>
      <c r="E15" s="27">
        <f>D15</f>
        <v>8</v>
      </c>
      <c r="F15" s="27"/>
      <c r="G15" s="27">
        <f>D15*15</f>
        <v>120</v>
      </c>
      <c r="H15" s="30">
        <f>G15</f>
        <v>120</v>
      </c>
      <c r="I15" s="30">
        <f t="shared" si="1"/>
        <v>128</v>
      </c>
      <c r="J15" s="30">
        <f t="shared" si="2"/>
        <v>409600</v>
      </c>
      <c r="K15" s="30">
        <f t="shared" si="0"/>
        <v>192000</v>
      </c>
      <c r="L15" s="46"/>
      <c r="M15" s="43">
        <f t="shared" si="3"/>
        <v>601600</v>
      </c>
    </row>
    <row r="16" spans="1:13">
      <c r="A16" s="12"/>
      <c r="B16" s="1" t="s">
        <v>5</v>
      </c>
      <c r="C16" s="27"/>
      <c r="D16" s="27">
        <v>18</v>
      </c>
      <c r="E16" s="27">
        <f>D16</f>
        <v>18</v>
      </c>
      <c r="F16" s="27"/>
      <c r="G16" s="27">
        <f>D16*15</f>
        <v>270</v>
      </c>
      <c r="H16" s="30">
        <f>G16</f>
        <v>270</v>
      </c>
      <c r="I16" s="30">
        <f t="shared" si="1"/>
        <v>288</v>
      </c>
      <c r="J16" s="30">
        <f t="shared" si="2"/>
        <v>921600</v>
      </c>
      <c r="K16" s="30">
        <f t="shared" si="0"/>
        <v>432000</v>
      </c>
      <c r="L16" s="46"/>
      <c r="M16" s="43">
        <f t="shared" si="3"/>
        <v>1353600</v>
      </c>
    </row>
    <row r="17" spans="1:13">
      <c r="A17" s="12"/>
      <c r="B17" s="2" t="s">
        <v>7</v>
      </c>
      <c r="C17" s="27"/>
      <c r="D17" s="27">
        <v>1</v>
      </c>
      <c r="E17" s="27">
        <f>D17</f>
        <v>1</v>
      </c>
      <c r="F17" s="27"/>
      <c r="G17" s="27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7"/>
      <c r="D18" s="27">
        <v>1</v>
      </c>
      <c r="E18" s="27">
        <f>D18</f>
        <v>1</v>
      </c>
      <c r="F18" s="27"/>
      <c r="G18" s="27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7"/>
      <c r="D19" s="27">
        <v>1</v>
      </c>
      <c r="E19" s="27">
        <f>D19</f>
        <v>1</v>
      </c>
      <c r="F19" s="27"/>
      <c r="G19" s="27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113</v>
      </c>
      <c r="E20" s="37">
        <f>E21</f>
        <v>113</v>
      </c>
      <c r="F20" s="37"/>
      <c r="G20" s="37">
        <f t="shared" ref="G20:M20" si="4">G21</f>
        <v>1971</v>
      </c>
      <c r="H20" s="37">
        <f t="shared" si="4"/>
        <v>1971</v>
      </c>
      <c r="I20" s="37">
        <f t="shared" si="4"/>
        <v>2094</v>
      </c>
      <c r="J20" s="37">
        <f t="shared" si="4"/>
        <v>6700800</v>
      </c>
      <c r="K20" s="37">
        <f t="shared" si="4"/>
        <v>0</v>
      </c>
      <c r="L20" s="47">
        <f t="shared" si="4"/>
        <v>0</v>
      </c>
      <c r="M20" s="38">
        <f t="shared" si="4"/>
        <v>6700800</v>
      </c>
    </row>
    <row r="21" spans="1:13">
      <c r="A21" s="10"/>
      <c r="B21" s="24" t="s">
        <v>19</v>
      </c>
      <c r="C21" s="27"/>
      <c r="D21" s="27">
        <v>113</v>
      </c>
      <c r="E21" s="27">
        <f>D21</f>
        <v>113</v>
      </c>
      <c r="F21" s="27"/>
      <c r="G21" s="27">
        <v>1971</v>
      </c>
      <c r="H21" s="30">
        <f>G20</f>
        <v>1971</v>
      </c>
      <c r="I21" s="30">
        <v>2094</v>
      </c>
      <c r="J21" s="30">
        <f>3200*I21</f>
        <v>6700800</v>
      </c>
      <c r="K21" s="30"/>
      <c r="L21" s="46"/>
      <c r="M21" s="43">
        <f>J21+K21</f>
        <v>6700800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28</v>
      </c>
      <c r="H22" s="38">
        <f t="shared" si="5"/>
        <v>28</v>
      </c>
      <c r="I22" s="38">
        <f t="shared" si="5"/>
        <v>29</v>
      </c>
      <c r="J22" s="38">
        <f t="shared" si="5"/>
        <v>92800</v>
      </c>
      <c r="K22" s="38">
        <f t="shared" si="5"/>
        <v>44800</v>
      </c>
      <c r="L22" s="47">
        <f t="shared" si="5"/>
        <v>0</v>
      </c>
      <c r="M22" s="44">
        <f t="shared" si="5"/>
        <v>137600</v>
      </c>
    </row>
    <row r="23" spans="1:13">
      <c r="A23" s="15"/>
      <c r="B23" s="3" t="s">
        <v>9</v>
      </c>
      <c r="C23" s="27"/>
      <c r="D23" s="27">
        <v>1</v>
      </c>
      <c r="E23" s="27">
        <f>D22</f>
        <v>1</v>
      </c>
      <c r="F23" s="27"/>
      <c r="G23" s="27">
        <v>28</v>
      </c>
      <c r="H23" s="30">
        <f>G22</f>
        <v>28</v>
      </c>
      <c r="I23" s="27">
        <v>29</v>
      </c>
      <c r="J23" s="30">
        <f>3200*I23</f>
        <v>92800</v>
      </c>
      <c r="K23" s="30">
        <f>1600*H23</f>
        <v>44800</v>
      </c>
      <c r="L23" s="46"/>
      <c r="M23" s="43">
        <f>J23+K23</f>
        <v>137600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24</v>
      </c>
      <c r="H24" s="38">
        <f t="shared" si="6"/>
        <v>24</v>
      </c>
      <c r="I24" s="38">
        <f t="shared" si="6"/>
        <v>25</v>
      </c>
      <c r="J24" s="38">
        <f t="shared" si="6"/>
        <v>80000</v>
      </c>
      <c r="K24" s="38">
        <f t="shared" si="6"/>
        <v>38400</v>
      </c>
      <c r="L24" s="48">
        <f t="shared" si="6"/>
        <v>0</v>
      </c>
      <c r="M24" s="216">
        <f t="shared" si="6"/>
        <v>118400</v>
      </c>
    </row>
    <row r="25" spans="1:13">
      <c r="A25" s="16"/>
      <c r="B25" s="23" t="s">
        <v>10</v>
      </c>
      <c r="C25" s="27"/>
      <c r="D25" s="27">
        <v>1</v>
      </c>
      <c r="E25" s="27">
        <f>D24</f>
        <v>1</v>
      </c>
      <c r="F25" s="27"/>
      <c r="G25" s="27">
        <v>24</v>
      </c>
      <c r="H25" s="30">
        <f>G25</f>
        <v>24</v>
      </c>
      <c r="I25" s="30">
        <f>H25+E25</f>
        <v>25</v>
      </c>
      <c r="J25" s="30">
        <f>3200*I25</f>
        <v>80000</v>
      </c>
      <c r="K25" s="30">
        <f>1600*H25</f>
        <v>38400</v>
      </c>
      <c r="L25" s="46"/>
      <c r="M25" s="43">
        <f>J25+K25</f>
        <v>118400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28</v>
      </c>
      <c r="H26" s="38">
        <f t="shared" si="7"/>
        <v>28</v>
      </c>
      <c r="I26" s="38">
        <f t="shared" si="7"/>
        <v>29</v>
      </c>
      <c r="J26" s="38">
        <f t="shared" si="7"/>
        <v>92800</v>
      </c>
      <c r="K26" s="38">
        <f t="shared" si="7"/>
        <v>44800</v>
      </c>
      <c r="L26" s="48">
        <f t="shared" si="7"/>
        <v>0</v>
      </c>
      <c r="M26" s="216">
        <f t="shared" si="7"/>
        <v>137600</v>
      </c>
    </row>
    <row r="27" spans="1:13">
      <c r="A27" s="15"/>
      <c r="B27" s="3" t="s">
        <v>10</v>
      </c>
      <c r="C27" s="27"/>
      <c r="D27" s="27">
        <v>1</v>
      </c>
      <c r="E27" s="27">
        <f>D26</f>
        <v>1</v>
      </c>
      <c r="F27" s="27"/>
      <c r="G27" s="27">
        <v>28</v>
      </c>
      <c r="H27" s="30">
        <f>G27</f>
        <v>28</v>
      </c>
      <c r="I27" s="30">
        <f>H27+E27</f>
        <v>29</v>
      </c>
      <c r="J27" s="30">
        <f>3200*I27</f>
        <v>92800</v>
      </c>
      <c r="K27" s="30">
        <f>1600*H27</f>
        <v>44800</v>
      </c>
      <c r="L27" s="46"/>
      <c r="M27" s="43">
        <f>J27+K27</f>
        <v>137600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6</v>
      </c>
      <c r="E28" s="37">
        <f>E29+E30</f>
        <v>10</v>
      </c>
      <c r="F28" s="37">
        <f>F29</f>
        <v>96</v>
      </c>
      <c r="G28" s="37">
        <f>G30</f>
        <v>148</v>
      </c>
      <c r="H28" s="38">
        <f t="shared" ref="H28:M28" si="8">H29+H30</f>
        <v>244</v>
      </c>
      <c r="I28" s="38">
        <f t="shared" si="8"/>
        <v>254</v>
      </c>
      <c r="J28" s="38">
        <f t="shared" si="8"/>
        <v>812800</v>
      </c>
      <c r="K28" s="38">
        <f t="shared" si="8"/>
        <v>390400</v>
      </c>
      <c r="L28" s="48">
        <f t="shared" si="8"/>
        <v>0</v>
      </c>
      <c r="M28" s="216">
        <f t="shared" si="8"/>
        <v>1203200</v>
      </c>
    </row>
    <row r="29" spans="1:13">
      <c r="A29" s="12"/>
      <c r="B29" s="1" t="s">
        <v>3</v>
      </c>
      <c r="C29" s="27">
        <v>4</v>
      </c>
      <c r="D29" s="27"/>
      <c r="E29" s="27">
        <f>C29</f>
        <v>4</v>
      </c>
      <c r="F29" s="27">
        <v>96</v>
      </c>
      <c r="G29" s="27"/>
      <c r="H29" s="30">
        <f>F29</f>
        <v>96</v>
      </c>
      <c r="I29" s="30">
        <f>H29+E29</f>
        <v>100</v>
      </c>
      <c r="J29" s="30">
        <f>3200*I29</f>
        <v>320000</v>
      </c>
      <c r="K29" s="30">
        <f>1600*H29</f>
        <v>153600</v>
      </c>
      <c r="L29" s="46"/>
      <c r="M29" s="43">
        <f>J29+K29</f>
        <v>473600</v>
      </c>
    </row>
    <row r="30" spans="1:13">
      <c r="A30" s="12"/>
      <c r="B30" s="1" t="s">
        <v>11</v>
      </c>
      <c r="C30" s="27"/>
      <c r="D30" s="27">
        <v>6</v>
      </c>
      <c r="E30" s="27">
        <f>D30</f>
        <v>6</v>
      </c>
      <c r="F30" s="27"/>
      <c r="G30" s="30">
        <v>148</v>
      </c>
      <c r="H30" s="30">
        <f>G30</f>
        <v>148</v>
      </c>
      <c r="I30" s="30">
        <f>H30+E30</f>
        <v>154</v>
      </c>
      <c r="J30" s="30">
        <f>3200*I30</f>
        <v>492800</v>
      </c>
      <c r="K30" s="30">
        <f>1600*H30</f>
        <v>236800</v>
      </c>
      <c r="L30" s="46"/>
      <c r="M30" s="43">
        <f>J30+K30+M62</f>
        <v>729600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28</v>
      </c>
      <c r="E31" s="37">
        <f t="shared" si="9"/>
        <v>28</v>
      </c>
      <c r="F31" s="37">
        <f t="shared" si="9"/>
        <v>0</v>
      </c>
      <c r="G31" s="37">
        <f t="shared" si="9"/>
        <v>420</v>
      </c>
      <c r="H31" s="37">
        <f t="shared" si="9"/>
        <v>420</v>
      </c>
      <c r="I31" s="37">
        <f t="shared" si="9"/>
        <v>448</v>
      </c>
      <c r="J31" s="37">
        <f t="shared" si="9"/>
        <v>1433600</v>
      </c>
      <c r="K31" s="37">
        <f t="shared" si="9"/>
        <v>0</v>
      </c>
      <c r="L31" s="37">
        <f t="shared" si="9"/>
        <v>0</v>
      </c>
      <c r="M31" s="38">
        <f t="shared" si="9"/>
        <v>1433600</v>
      </c>
    </row>
    <row r="32" spans="1:13">
      <c r="A32" s="10"/>
      <c r="B32" s="24" t="s">
        <v>19</v>
      </c>
      <c r="C32" s="27"/>
      <c r="D32" s="27">
        <v>28</v>
      </c>
      <c r="E32" s="27">
        <f>D32</f>
        <v>28</v>
      </c>
      <c r="F32" s="27"/>
      <c r="G32" s="27">
        <f>E32*15</f>
        <v>420</v>
      </c>
      <c r="H32" s="30">
        <f>G32</f>
        <v>420</v>
      </c>
      <c r="I32" s="30">
        <f>H32+E32</f>
        <v>448</v>
      </c>
      <c r="J32" s="30">
        <f>3200*I32</f>
        <v>1433600</v>
      </c>
      <c r="K32" s="30"/>
      <c r="L32" s="46"/>
      <c r="M32" s="43">
        <f>J32+K32</f>
        <v>1433600</v>
      </c>
    </row>
    <row r="33" spans="1:13">
      <c r="A33" s="36">
        <v>9</v>
      </c>
      <c r="B33" s="33" t="s">
        <v>27</v>
      </c>
      <c r="C33" s="37">
        <f>C34</f>
        <v>12</v>
      </c>
      <c r="D33" s="37">
        <f>D35+D36</f>
        <v>11</v>
      </c>
      <c r="E33" s="37">
        <f>E34+E35+E36</f>
        <v>23</v>
      </c>
      <c r="F33" s="37">
        <f>F34</f>
        <v>317</v>
      </c>
      <c r="G33" s="37">
        <f>G35+G36</f>
        <v>290</v>
      </c>
      <c r="H33" s="38">
        <f t="shared" ref="H33:M33" si="10">H34+H35+H36</f>
        <v>607</v>
      </c>
      <c r="I33" s="38">
        <f t="shared" si="10"/>
        <v>631</v>
      </c>
      <c r="J33" s="35">
        <f t="shared" si="10"/>
        <v>2070400</v>
      </c>
      <c r="K33" s="35">
        <f t="shared" si="10"/>
        <v>873600</v>
      </c>
      <c r="L33" s="47">
        <f t="shared" si="10"/>
        <v>0</v>
      </c>
      <c r="M33" s="216">
        <f t="shared" si="10"/>
        <v>2987200</v>
      </c>
    </row>
    <row r="34" spans="1:13">
      <c r="A34" s="12"/>
      <c r="B34" s="1" t="s">
        <v>3</v>
      </c>
      <c r="C34" s="27">
        <v>12</v>
      </c>
      <c r="D34" s="27"/>
      <c r="E34" s="27">
        <f>C34</f>
        <v>12</v>
      </c>
      <c r="F34" s="27">
        <v>317</v>
      </c>
      <c r="G34" s="27"/>
      <c r="H34" s="30">
        <f>F34</f>
        <v>317</v>
      </c>
      <c r="I34" s="30">
        <f>H34+E34</f>
        <v>329</v>
      </c>
      <c r="J34" s="30">
        <f>3200*I34</f>
        <v>1052800</v>
      </c>
      <c r="K34" s="30">
        <f>1600*H34</f>
        <v>507200</v>
      </c>
      <c r="L34" s="46"/>
      <c r="M34" s="43">
        <f>J34+K34</f>
        <v>1560000</v>
      </c>
    </row>
    <row r="35" spans="1:13">
      <c r="A35" s="13"/>
      <c r="B35" s="1" t="s">
        <v>12</v>
      </c>
      <c r="C35" s="27"/>
      <c r="D35" s="27">
        <v>9</v>
      </c>
      <c r="E35" s="27">
        <f>D35</f>
        <v>9</v>
      </c>
      <c r="F35" s="27"/>
      <c r="G35" s="27">
        <v>229</v>
      </c>
      <c r="H35" s="30">
        <f>G35</f>
        <v>229</v>
      </c>
      <c r="I35" s="30">
        <f>H35+E35</f>
        <v>238</v>
      </c>
      <c r="J35" s="30">
        <f>3200*I35</f>
        <v>761600</v>
      </c>
      <c r="K35" s="30">
        <f>1600*H35</f>
        <v>366400</v>
      </c>
      <c r="L35" s="46"/>
      <c r="M35" s="43">
        <f>J35+K35+M63</f>
        <v>1171200</v>
      </c>
    </row>
    <row r="36" spans="1:13">
      <c r="A36" s="13"/>
      <c r="B36" s="96" t="s">
        <v>128</v>
      </c>
      <c r="C36" s="27"/>
      <c r="D36" s="27">
        <v>2</v>
      </c>
      <c r="E36" s="27">
        <f>D36</f>
        <v>2</v>
      </c>
      <c r="F36" s="27"/>
      <c r="G36" s="27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28</v>
      </c>
      <c r="E37" s="37">
        <f>E38</f>
        <v>28</v>
      </c>
      <c r="F37" s="37"/>
      <c r="G37" s="37">
        <f t="shared" ref="G37:M37" si="11">G38</f>
        <v>446</v>
      </c>
      <c r="H37" s="38">
        <f t="shared" si="11"/>
        <v>446</v>
      </c>
      <c r="I37" s="38">
        <f t="shared" si="11"/>
        <v>474</v>
      </c>
      <c r="J37" s="38">
        <f t="shared" si="11"/>
        <v>1896000</v>
      </c>
      <c r="K37" s="38">
        <f t="shared" si="11"/>
        <v>0</v>
      </c>
      <c r="L37" s="48">
        <f t="shared" si="11"/>
        <v>0</v>
      </c>
      <c r="M37" s="216">
        <f t="shared" si="11"/>
        <v>1896000</v>
      </c>
    </row>
    <row r="38" spans="1:13">
      <c r="A38" s="13"/>
      <c r="B38" s="96" t="s">
        <v>128</v>
      </c>
      <c r="C38" s="27"/>
      <c r="D38" s="27">
        <v>28</v>
      </c>
      <c r="E38" s="27">
        <f>D38</f>
        <v>28</v>
      </c>
      <c r="F38" s="27"/>
      <c r="G38" s="27">
        <v>446</v>
      </c>
      <c r="H38" s="30">
        <f>G38</f>
        <v>446</v>
      </c>
      <c r="I38" s="30">
        <f>H38+E38</f>
        <v>474</v>
      </c>
      <c r="J38" s="30">
        <f>4000*I38</f>
        <v>1896000</v>
      </c>
      <c r="K38" s="30"/>
      <c r="L38" s="46"/>
      <c r="M38" s="43">
        <f>J38+K38</f>
        <v>1896000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7"/>
      <c r="D40" s="27">
        <v>1</v>
      </c>
      <c r="E40" s="27">
        <f>D40</f>
        <v>1</v>
      </c>
      <c r="F40" s="27"/>
      <c r="G40" s="27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7"/>
      <c r="D41" s="27"/>
      <c r="E41" s="27">
        <f>D41</f>
        <v>0</v>
      </c>
      <c r="F41" s="27"/>
      <c r="G41" s="27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7"/>
      <c r="D42" s="27"/>
      <c r="E42" s="27">
        <f>D42</f>
        <v>0</v>
      </c>
      <c r="F42" s="27"/>
      <c r="G42" s="27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7"/>
      <c r="D43" s="27"/>
      <c r="E43" s="27">
        <f>D43</f>
        <v>0</v>
      </c>
      <c r="F43" s="27"/>
      <c r="G43" s="27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7"/>
      <c r="D45" s="27">
        <v>1</v>
      </c>
      <c r="E45" s="27">
        <f t="shared" ref="E45:E51" si="14">D45</f>
        <v>1</v>
      </c>
      <c r="F45" s="27"/>
      <c r="G45" s="27">
        <f>D45*40</f>
        <v>40</v>
      </c>
      <c r="H45" s="30">
        <f>G45</f>
        <v>40</v>
      </c>
      <c r="I45" s="27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7"/>
      <c r="D46" s="27">
        <v>1</v>
      </c>
      <c r="E46" s="27">
        <f t="shared" si="14"/>
        <v>1</v>
      </c>
      <c r="F46" s="27"/>
      <c r="G46" s="27">
        <f>D46*40</f>
        <v>40</v>
      </c>
      <c r="H46" s="30">
        <f>G46</f>
        <v>40</v>
      </c>
      <c r="I46" s="27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7"/>
      <c r="D48" s="27"/>
      <c r="E48" s="27">
        <f t="shared" si="14"/>
        <v>0</v>
      </c>
      <c r="F48" s="27"/>
      <c r="G48" s="27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6</v>
      </c>
      <c r="E49" s="37">
        <f>E50+E51</f>
        <v>6</v>
      </c>
      <c r="F49" s="37"/>
      <c r="G49" s="37">
        <f t="shared" ref="G49:M49" si="16">G50+G51</f>
        <v>116</v>
      </c>
      <c r="H49" s="37">
        <f t="shared" si="16"/>
        <v>116</v>
      </c>
      <c r="I49" s="37">
        <f t="shared" si="16"/>
        <v>122</v>
      </c>
      <c r="J49" s="37">
        <f t="shared" si="16"/>
        <v>464800</v>
      </c>
      <c r="K49" s="37">
        <f t="shared" si="16"/>
        <v>44800</v>
      </c>
      <c r="L49" s="37">
        <f t="shared" si="16"/>
        <v>0</v>
      </c>
      <c r="M49" s="219">
        <f t="shared" si="16"/>
        <v>509600</v>
      </c>
    </row>
    <row r="50" spans="1:13">
      <c r="A50" s="152"/>
      <c r="B50" s="155" t="s">
        <v>155</v>
      </c>
      <c r="C50" s="153"/>
      <c r="D50" s="153">
        <v>1</v>
      </c>
      <c r="E50" s="27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7"/>
      <c r="D51" s="27">
        <v>5</v>
      </c>
      <c r="E51" s="27">
        <f t="shared" si="14"/>
        <v>5</v>
      </c>
      <c r="F51" s="27"/>
      <c r="G51" s="153">
        <v>88</v>
      </c>
      <c r="H51" s="30">
        <f>G51</f>
        <v>88</v>
      </c>
      <c r="I51" s="30">
        <f>H51+E51</f>
        <v>93</v>
      </c>
      <c r="J51" s="30">
        <f>4000*I51</f>
        <v>372000</v>
      </c>
      <c r="K51" s="30"/>
      <c r="L51" s="46"/>
      <c r="M51" s="43">
        <f>J51+K51+(L51*15000)</f>
        <v>372000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/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236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1</v>
      </c>
      <c r="M58" s="217">
        <f>M59</f>
        <v>307800</v>
      </c>
    </row>
    <row r="59" spans="1:13">
      <c r="A59" s="14"/>
      <c r="B59" s="20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64</v>
      </c>
      <c r="D64" s="42">
        <f>D8+D13+D20+D22+D24+D26+D28+D31+D33+D37+D39+D44+D47+D49+D52+D54+D56+D58</f>
        <v>243</v>
      </c>
      <c r="E64" s="42">
        <f>E8+E13+E20+E22+E24+E26+E28+E31+E33+E37+E39+E44+E47+E49+E52+E54+E56+E58+E60</f>
        <v>307</v>
      </c>
      <c r="F64" s="42">
        <f>F8+F13+F28+F33+F60</f>
        <v>1158</v>
      </c>
      <c r="G64" s="42">
        <f>G8+G13+G20+G22+G24+G26+G28+G31+G33+G37+G39+G44+G47+G49+G52+G54+G56+G58</f>
        <v>4500</v>
      </c>
      <c r="H64" s="42">
        <f>H8+H13+H20+H22+H24+H26+H28+H31+H33+H37+H39+H44+H47+H49+H52+H54+H56+H58+H60</f>
        <v>5658</v>
      </c>
      <c r="I64" s="42">
        <f>I8+I13+I20+I22+I24+I26+I28+I31+I33+I37+I39+I44+I47+I49+I52+I54+I56+I58+I60</f>
        <v>5981</v>
      </c>
      <c r="J64" s="42">
        <f>J8+J13+J20+J22+J24+J26+J28+J31+J33+J37+J39+J44+J47+J49+J52+J54+J56+J58</f>
        <v>19982760</v>
      </c>
      <c r="K64" s="42">
        <f>K8+K13+K20+K22+K24+K26+K28+K31+K33+K37+K39+K44+K47+K49+K52+K54+K56+K58</f>
        <v>4232000</v>
      </c>
      <c r="L64" s="50"/>
      <c r="M64" s="42">
        <f>M8+M13+M20+M22+M24+M26+M28+M31+M33+M37+M39+M44+M47+M49+M52+M54+M56+M58+M60+M65+M66</f>
        <v>24287960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>
        <v>0</v>
      </c>
      <c r="G67" s="145">
        <v>14</v>
      </c>
      <c r="H67" s="119"/>
      <c r="K67" s="97" t="s">
        <v>32</v>
      </c>
      <c r="L67" s="4">
        <f>L65+L66</f>
        <v>2</v>
      </c>
    </row>
    <row r="68" spans="2:13" ht="13.5" thickBot="1">
      <c r="B68" s="120" t="s">
        <v>75</v>
      </c>
      <c r="C68" s="131">
        <f t="shared" ref="C68:C74" si="20">F68+G68</f>
        <v>2</v>
      </c>
      <c r="D68" s="342">
        <f>C68*30000</f>
        <v>60000</v>
      </c>
      <c r="E68" s="343"/>
      <c r="F68" s="122">
        <v>2</v>
      </c>
      <c r="G68" s="139">
        <v>0</v>
      </c>
      <c r="H68" s="135"/>
      <c r="I68" s="102"/>
      <c r="J68" s="102"/>
      <c r="L68" s="4"/>
    </row>
    <row r="69" spans="2:13">
      <c r="B69" s="120" t="s">
        <v>76</v>
      </c>
      <c r="C69" s="131">
        <f t="shared" si="20"/>
        <v>2</v>
      </c>
      <c r="D69" s="329">
        <f>C69*35000</f>
        <v>70000</v>
      </c>
      <c r="E69" s="330"/>
      <c r="F69" s="121">
        <v>1</v>
      </c>
      <c r="G69" s="138">
        <v>1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8</v>
      </c>
      <c r="D70" s="329">
        <f>C70*20000</f>
        <v>160000</v>
      </c>
      <c r="E70" s="330"/>
      <c r="F70" s="121">
        <v>7</v>
      </c>
      <c r="G70" s="138">
        <v>1</v>
      </c>
      <c r="H70" s="135"/>
      <c r="I70" s="97"/>
      <c r="K70" s="109" t="s">
        <v>132</v>
      </c>
      <c r="L70" s="163">
        <f>C77</f>
        <v>23</v>
      </c>
      <c r="M70" s="110">
        <f>D77</f>
        <v>734080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67</v>
      </c>
      <c r="M71" s="112">
        <f>D78+D79</f>
        <v>616000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41</v>
      </c>
      <c r="M72" s="114">
        <f>L72*20000</f>
        <v>820000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43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1</v>
      </c>
      <c r="D76" s="351">
        <f>42*2240</f>
        <v>94080</v>
      </c>
      <c r="E76" s="352"/>
      <c r="F76" s="128"/>
      <c r="G76" s="142">
        <v>1</v>
      </c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23</v>
      </c>
      <c r="D77" s="344">
        <f>SUM(D67:E76)</f>
        <v>734080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29</v>
      </c>
      <c r="D78" s="346">
        <v>294000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38</v>
      </c>
      <c r="D79" s="348">
        <v>322000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M80"/>
  <sheetViews>
    <sheetView topLeftCell="A56" workbookViewId="0">
      <selection activeCell="D77" sqref="D77:E77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7" t="s">
        <v>35</v>
      </c>
      <c r="D7" s="27" t="s">
        <v>36</v>
      </c>
      <c r="E7" s="27" t="s">
        <v>32</v>
      </c>
      <c r="F7" s="27" t="s">
        <v>34</v>
      </c>
      <c r="G7" s="27" t="s">
        <v>37</v>
      </c>
      <c r="H7" s="28" t="s">
        <v>39</v>
      </c>
      <c r="I7" s="27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2</v>
      </c>
      <c r="E8" s="34">
        <f>SUM(E9:E12)</f>
        <v>3</v>
      </c>
      <c r="F8" s="34">
        <f>F9</f>
        <v>24</v>
      </c>
      <c r="G8" s="34">
        <f>G10+G11+G12</f>
        <v>56</v>
      </c>
      <c r="H8" s="35">
        <f>SUM(H9:H12)</f>
        <v>80</v>
      </c>
      <c r="I8" s="35">
        <f>SUM(I9:I12)</f>
        <v>84</v>
      </c>
      <c r="J8" s="35">
        <f>SUM(J9:J12)</f>
        <v>296000</v>
      </c>
      <c r="K8" s="35">
        <f>SUM(K9:K12)</f>
        <v>76800</v>
      </c>
      <c r="L8" s="34">
        <f>L9+L10+L11+L12</f>
        <v>0</v>
      </c>
      <c r="M8" s="35">
        <f>SUM(M9:M12)</f>
        <v>372800</v>
      </c>
    </row>
    <row r="9" spans="1:13">
      <c r="A9" s="8"/>
      <c r="B9" s="1" t="s">
        <v>3</v>
      </c>
      <c r="C9" s="27">
        <v>1</v>
      </c>
      <c r="D9" s="27"/>
      <c r="E9" s="27">
        <f>C9</f>
        <v>1</v>
      </c>
      <c r="F9" s="27">
        <f>E9*24</f>
        <v>24</v>
      </c>
      <c r="G9" s="27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7"/>
      <c r="D10" s="27">
        <v>1</v>
      </c>
      <c r="E10" s="27">
        <f>D10</f>
        <v>1</v>
      </c>
      <c r="F10" s="27"/>
      <c r="G10" s="27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7"/>
      <c r="D11" s="27"/>
      <c r="E11" s="27">
        <f>D11</f>
        <v>0</v>
      </c>
      <c r="F11" s="27"/>
      <c r="G11" s="27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7"/>
      <c r="D12" s="27">
        <v>1</v>
      </c>
      <c r="E12" s="27">
        <f>D12</f>
        <v>1</v>
      </c>
      <c r="F12" s="27"/>
      <c r="G12" s="27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31</v>
      </c>
      <c r="D13" s="37">
        <f>D15+D16+D17+D18+D19</f>
        <v>31</v>
      </c>
      <c r="E13" s="37">
        <f>SUM(E14:E19)</f>
        <v>62</v>
      </c>
      <c r="F13" s="37">
        <f>F14</f>
        <v>465</v>
      </c>
      <c r="G13" s="37">
        <f>G15+G16+G17+G18+G19</f>
        <v>465</v>
      </c>
      <c r="H13" s="37">
        <f>SUM(H14:H19)</f>
        <v>930</v>
      </c>
      <c r="I13" s="37">
        <f>SUM(I14:I19)</f>
        <v>992</v>
      </c>
      <c r="J13" s="37">
        <f>SUM(J14:J19)</f>
        <v>3174400</v>
      </c>
      <c r="K13" s="37">
        <f>SUM(K14:K19)</f>
        <v>1488000</v>
      </c>
      <c r="L13" s="47">
        <f>L14+L15+L16+L17+L18+L19</f>
        <v>0</v>
      </c>
      <c r="M13" s="38">
        <f>SUM(M14:M19)</f>
        <v>4662400</v>
      </c>
    </row>
    <row r="14" spans="1:13">
      <c r="A14" s="12"/>
      <c r="B14" s="1" t="s">
        <v>3</v>
      </c>
      <c r="C14" s="27">
        <v>31</v>
      </c>
      <c r="D14" s="27"/>
      <c r="E14" s="27">
        <f>C14</f>
        <v>31</v>
      </c>
      <c r="F14" s="27">
        <f>C14*15</f>
        <v>465</v>
      </c>
      <c r="G14" s="27"/>
      <c r="H14" s="30">
        <f>F14</f>
        <v>465</v>
      </c>
      <c r="I14" s="30">
        <f t="shared" ref="I14:I19" si="1">H14+E14</f>
        <v>496</v>
      </c>
      <c r="J14" s="30">
        <f t="shared" ref="J14:J19" si="2">3200*I14</f>
        <v>1587200</v>
      </c>
      <c r="K14" s="30">
        <f t="shared" si="0"/>
        <v>744000</v>
      </c>
      <c r="L14" s="46"/>
      <c r="M14" s="43">
        <f t="shared" ref="M14:M19" si="3">J14+K14</f>
        <v>2331200</v>
      </c>
    </row>
    <row r="15" spans="1:13">
      <c r="A15" s="12"/>
      <c r="B15" s="1" t="s">
        <v>6</v>
      </c>
      <c r="C15" s="27"/>
      <c r="D15" s="27">
        <v>12</v>
      </c>
      <c r="E15" s="27">
        <f>D15</f>
        <v>12</v>
      </c>
      <c r="F15" s="27"/>
      <c r="G15" s="27">
        <f>D15*15</f>
        <v>180</v>
      </c>
      <c r="H15" s="30">
        <f>G15</f>
        <v>180</v>
      </c>
      <c r="I15" s="30">
        <f t="shared" si="1"/>
        <v>192</v>
      </c>
      <c r="J15" s="30">
        <f t="shared" si="2"/>
        <v>614400</v>
      </c>
      <c r="K15" s="30">
        <f t="shared" si="0"/>
        <v>288000</v>
      </c>
      <c r="L15" s="46"/>
      <c r="M15" s="43">
        <f t="shared" si="3"/>
        <v>902400</v>
      </c>
    </row>
    <row r="16" spans="1:13">
      <c r="A16" s="12"/>
      <c r="B16" s="1" t="s">
        <v>5</v>
      </c>
      <c r="C16" s="27"/>
      <c r="D16" s="27">
        <v>16</v>
      </c>
      <c r="E16" s="27">
        <f>D16</f>
        <v>16</v>
      </c>
      <c r="F16" s="27"/>
      <c r="G16" s="27">
        <f>D16*15</f>
        <v>240</v>
      </c>
      <c r="H16" s="30">
        <f>G16</f>
        <v>240</v>
      </c>
      <c r="I16" s="30">
        <f t="shared" si="1"/>
        <v>256</v>
      </c>
      <c r="J16" s="30">
        <f t="shared" si="2"/>
        <v>819200</v>
      </c>
      <c r="K16" s="30">
        <f t="shared" si="0"/>
        <v>384000</v>
      </c>
      <c r="L16" s="46"/>
      <c r="M16" s="43">
        <f t="shared" si="3"/>
        <v>1203200</v>
      </c>
    </row>
    <row r="17" spans="1:13">
      <c r="A17" s="12"/>
      <c r="B17" s="2" t="s">
        <v>7</v>
      </c>
      <c r="C17" s="27"/>
      <c r="D17" s="27">
        <v>1</v>
      </c>
      <c r="E17" s="27">
        <f>D17</f>
        <v>1</v>
      </c>
      <c r="F17" s="27"/>
      <c r="G17" s="27">
        <f>D17*15</f>
        <v>15</v>
      </c>
      <c r="H17" s="30">
        <f>G17</f>
        <v>15</v>
      </c>
      <c r="I17" s="30">
        <f t="shared" si="1"/>
        <v>16</v>
      </c>
      <c r="J17" s="30">
        <f t="shared" si="2"/>
        <v>51200</v>
      </c>
      <c r="K17" s="30">
        <f t="shared" si="0"/>
        <v>24000</v>
      </c>
      <c r="L17" s="46"/>
      <c r="M17" s="43">
        <f t="shared" si="3"/>
        <v>75200</v>
      </c>
    </row>
    <row r="18" spans="1:13">
      <c r="A18" s="13"/>
      <c r="B18" s="2" t="s">
        <v>8</v>
      </c>
      <c r="C18" s="27"/>
      <c r="D18" s="27">
        <v>1</v>
      </c>
      <c r="E18" s="27">
        <f>D18</f>
        <v>1</v>
      </c>
      <c r="F18" s="27"/>
      <c r="G18" s="27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7"/>
      <c r="D19" s="27">
        <v>1</v>
      </c>
      <c r="E19" s="27">
        <f>D19</f>
        <v>1</v>
      </c>
      <c r="F19" s="27"/>
      <c r="G19" s="27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128</v>
      </c>
      <c r="E20" s="37">
        <f>E21</f>
        <v>128</v>
      </c>
      <c r="F20" s="37"/>
      <c r="G20" s="37">
        <f t="shared" ref="G20:M20" si="4">G21</f>
        <v>2286</v>
      </c>
      <c r="H20" s="37">
        <f t="shared" si="4"/>
        <v>2286</v>
      </c>
      <c r="I20" s="37">
        <f t="shared" si="4"/>
        <v>2427</v>
      </c>
      <c r="J20" s="37">
        <f t="shared" si="4"/>
        <v>7766400</v>
      </c>
      <c r="K20" s="37">
        <f t="shared" si="4"/>
        <v>0</v>
      </c>
      <c r="L20" s="47">
        <f t="shared" si="4"/>
        <v>0</v>
      </c>
      <c r="M20" s="38">
        <f t="shared" si="4"/>
        <v>7766400</v>
      </c>
    </row>
    <row r="21" spans="1:13">
      <c r="A21" s="10"/>
      <c r="B21" s="24" t="s">
        <v>19</v>
      </c>
      <c r="C21" s="27"/>
      <c r="D21" s="27">
        <v>128</v>
      </c>
      <c r="E21" s="27">
        <f>D21</f>
        <v>128</v>
      </c>
      <c r="F21" s="27"/>
      <c r="G21" s="27">
        <v>2286</v>
      </c>
      <c r="H21" s="30">
        <f>G20</f>
        <v>2286</v>
      </c>
      <c r="I21" s="30">
        <v>2427</v>
      </c>
      <c r="J21" s="30">
        <f>3200*I21</f>
        <v>7766400</v>
      </c>
      <c r="K21" s="30"/>
      <c r="L21" s="46"/>
      <c r="M21" s="43">
        <f>J21+K21</f>
        <v>7766400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7"/>
      <c r="D23" s="27">
        <v>1</v>
      </c>
      <c r="E23" s="27">
        <f>D22</f>
        <v>1</v>
      </c>
      <c r="F23" s="27"/>
      <c r="G23" s="27">
        <f>E23*32</f>
        <v>32</v>
      </c>
      <c r="H23" s="30">
        <f>G22</f>
        <v>32</v>
      </c>
      <c r="I23" s="27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7"/>
      <c r="D25" s="27">
        <v>1</v>
      </c>
      <c r="E25" s="27">
        <f>D24</f>
        <v>1</v>
      </c>
      <c r="F25" s="27"/>
      <c r="G25" s="27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7"/>
      <c r="D27" s="27">
        <v>1</v>
      </c>
      <c r="E27" s="27">
        <f>D26</f>
        <v>1</v>
      </c>
      <c r="F27" s="27"/>
      <c r="G27" s="27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4</v>
      </c>
      <c r="D28" s="37">
        <f>D30</f>
        <v>8</v>
      </c>
      <c r="E28" s="37">
        <f>E29+E30</f>
        <v>12</v>
      </c>
      <c r="F28" s="37">
        <f>F29</f>
        <v>96</v>
      </c>
      <c r="G28" s="37">
        <f>G30</f>
        <v>204</v>
      </c>
      <c r="H28" s="38">
        <f t="shared" ref="H28:M28" si="8">H29+H30</f>
        <v>300</v>
      </c>
      <c r="I28" s="38">
        <f t="shared" si="8"/>
        <v>312</v>
      </c>
      <c r="J28" s="38">
        <f t="shared" si="8"/>
        <v>998400</v>
      </c>
      <c r="K28" s="38">
        <f t="shared" si="8"/>
        <v>480000</v>
      </c>
      <c r="L28" s="48">
        <f t="shared" si="8"/>
        <v>0</v>
      </c>
      <c r="M28" s="216">
        <f t="shared" si="8"/>
        <v>1478400</v>
      </c>
    </row>
    <row r="29" spans="1:13">
      <c r="A29" s="12"/>
      <c r="B29" s="1" t="s">
        <v>3</v>
      </c>
      <c r="C29" s="27">
        <v>4</v>
      </c>
      <c r="D29" s="27"/>
      <c r="E29" s="27">
        <f>C29</f>
        <v>4</v>
      </c>
      <c r="F29" s="27">
        <v>96</v>
      </c>
      <c r="G29" s="27"/>
      <c r="H29" s="30">
        <f>F29</f>
        <v>96</v>
      </c>
      <c r="I29" s="30">
        <f>H29+E29</f>
        <v>100</v>
      </c>
      <c r="J29" s="30">
        <f>3200*I29</f>
        <v>320000</v>
      </c>
      <c r="K29" s="30">
        <f>1600*H29</f>
        <v>153600</v>
      </c>
      <c r="L29" s="46"/>
      <c r="M29" s="43">
        <f>J29+K29</f>
        <v>473600</v>
      </c>
    </row>
    <row r="30" spans="1:13">
      <c r="A30" s="12"/>
      <c r="B30" s="1" t="s">
        <v>11</v>
      </c>
      <c r="C30" s="27"/>
      <c r="D30" s="27">
        <v>8</v>
      </c>
      <c r="E30" s="27">
        <f>D30</f>
        <v>8</v>
      </c>
      <c r="F30" s="27"/>
      <c r="G30" s="30">
        <v>204</v>
      </c>
      <c r="H30" s="30">
        <f>G30</f>
        <v>204</v>
      </c>
      <c r="I30" s="30">
        <f>H30+E30</f>
        <v>212</v>
      </c>
      <c r="J30" s="30">
        <f>3200*I30</f>
        <v>678400</v>
      </c>
      <c r="K30" s="30">
        <f>1600*H30</f>
        <v>326400</v>
      </c>
      <c r="L30" s="46"/>
      <c r="M30" s="43">
        <f>J30+K30+M62</f>
        <v>1004800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29</v>
      </c>
      <c r="E31" s="37">
        <f t="shared" si="9"/>
        <v>29</v>
      </c>
      <c r="F31" s="37">
        <f t="shared" si="9"/>
        <v>0</v>
      </c>
      <c r="G31" s="37">
        <f t="shared" si="9"/>
        <v>435</v>
      </c>
      <c r="H31" s="37">
        <f t="shared" si="9"/>
        <v>435</v>
      </c>
      <c r="I31" s="37">
        <f t="shared" si="9"/>
        <v>464</v>
      </c>
      <c r="J31" s="37">
        <f t="shared" si="9"/>
        <v>1484800</v>
      </c>
      <c r="K31" s="37">
        <f t="shared" si="9"/>
        <v>0</v>
      </c>
      <c r="L31" s="37">
        <f t="shared" si="9"/>
        <v>0</v>
      </c>
      <c r="M31" s="38">
        <f t="shared" si="9"/>
        <v>1484800</v>
      </c>
    </row>
    <row r="32" spans="1:13">
      <c r="A32" s="10"/>
      <c r="B32" s="24" t="s">
        <v>19</v>
      </c>
      <c r="C32" s="27"/>
      <c r="D32" s="27">
        <v>29</v>
      </c>
      <c r="E32" s="27">
        <f>D32</f>
        <v>29</v>
      </c>
      <c r="F32" s="27"/>
      <c r="G32" s="27">
        <f>E32*15</f>
        <v>435</v>
      </c>
      <c r="H32" s="30">
        <f>G32</f>
        <v>435</v>
      </c>
      <c r="I32" s="30">
        <f>H32+E32</f>
        <v>464</v>
      </c>
      <c r="J32" s="30">
        <f>3200*I32</f>
        <v>1484800</v>
      </c>
      <c r="K32" s="30"/>
      <c r="L32" s="46"/>
      <c r="M32" s="43">
        <f>J32+K32</f>
        <v>1484800</v>
      </c>
    </row>
    <row r="33" spans="1:13">
      <c r="A33" s="36">
        <v>9</v>
      </c>
      <c r="B33" s="33" t="s">
        <v>27</v>
      </c>
      <c r="C33" s="37">
        <f>C34</f>
        <v>7</v>
      </c>
      <c r="D33" s="37">
        <f>D35+D36</f>
        <v>13</v>
      </c>
      <c r="E33" s="37">
        <f>E34+E35+E36</f>
        <v>20</v>
      </c>
      <c r="F33" s="37">
        <f>F34</f>
        <v>186</v>
      </c>
      <c r="G33" s="37">
        <f>G35+G36</f>
        <v>342</v>
      </c>
      <c r="H33" s="38">
        <f t="shared" ref="H33:M33" si="10">H34+H35+H36</f>
        <v>528</v>
      </c>
      <c r="I33" s="38">
        <f t="shared" si="10"/>
        <v>550</v>
      </c>
      <c r="J33" s="35">
        <f t="shared" si="10"/>
        <v>1811200</v>
      </c>
      <c r="K33" s="35">
        <f t="shared" si="10"/>
        <v>747200</v>
      </c>
      <c r="L33" s="47">
        <f t="shared" si="10"/>
        <v>0</v>
      </c>
      <c r="M33" s="216">
        <f t="shared" si="10"/>
        <v>2644800</v>
      </c>
    </row>
    <row r="34" spans="1:13">
      <c r="A34" s="12"/>
      <c r="B34" s="1" t="s">
        <v>3</v>
      </c>
      <c r="C34" s="27">
        <v>7</v>
      </c>
      <c r="D34" s="27"/>
      <c r="E34" s="27">
        <f>C34</f>
        <v>7</v>
      </c>
      <c r="F34" s="27">
        <v>186</v>
      </c>
      <c r="G34" s="27"/>
      <c r="H34" s="30">
        <f>F34</f>
        <v>186</v>
      </c>
      <c r="I34" s="30">
        <f>H34+E34</f>
        <v>193</v>
      </c>
      <c r="J34" s="30">
        <f>3200*I34</f>
        <v>617600</v>
      </c>
      <c r="K34" s="30">
        <f>1600*H34</f>
        <v>297600</v>
      </c>
      <c r="L34" s="46"/>
      <c r="M34" s="43">
        <f>J34+K34</f>
        <v>915200</v>
      </c>
    </row>
    <row r="35" spans="1:13">
      <c r="A35" s="13"/>
      <c r="B35" s="1" t="s">
        <v>12</v>
      </c>
      <c r="C35" s="27"/>
      <c r="D35" s="27">
        <v>11</v>
      </c>
      <c r="E35" s="27">
        <f>D35</f>
        <v>11</v>
      </c>
      <c r="F35" s="27"/>
      <c r="G35" s="27">
        <v>281</v>
      </c>
      <c r="H35" s="30">
        <f>G35</f>
        <v>281</v>
      </c>
      <c r="I35" s="30">
        <v>293</v>
      </c>
      <c r="J35" s="30">
        <f>3200*I35</f>
        <v>937600</v>
      </c>
      <c r="K35" s="30">
        <f>1600*H35</f>
        <v>449600</v>
      </c>
      <c r="L35" s="46"/>
      <c r="M35" s="43">
        <f>J35+K35+M63</f>
        <v>1473600</v>
      </c>
    </row>
    <row r="36" spans="1:13">
      <c r="A36" s="13"/>
      <c r="B36" s="96" t="s">
        <v>128</v>
      </c>
      <c r="C36" s="27"/>
      <c r="D36" s="27">
        <v>2</v>
      </c>
      <c r="E36" s="27">
        <f>D36</f>
        <v>2</v>
      </c>
      <c r="F36" s="27"/>
      <c r="G36" s="27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28</v>
      </c>
      <c r="E37" s="37">
        <f>E38</f>
        <v>28</v>
      </c>
      <c r="F37" s="37"/>
      <c r="G37" s="37">
        <f t="shared" ref="G37:M37" si="11">G38</f>
        <v>446</v>
      </c>
      <c r="H37" s="38">
        <f t="shared" si="11"/>
        <v>446</v>
      </c>
      <c r="I37" s="38">
        <f t="shared" si="11"/>
        <v>474</v>
      </c>
      <c r="J37" s="38">
        <f t="shared" si="11"/>
        <v>1896000</v>
      </c>
      <c r="K37" s="38">
        <f t="shared" si="11"/>
        <v>0</v>
      </c>
      <c r="L37" s="48">
        <f t="shared" si="11"/>
        <v>0</v>
      </c>
      <c r="M37" s="216">
        <f t="shared" si="11"/>
        <v>1896000</v>
      </c>
    </row>
    <row r="38" spans="1:13">
      <c r="A38" s="13"/>
      <c r="B38" s="96" t="s">
        <v>128</v>
      </c>
      <c r="C38" s="27"/>
      <c r="D38" s="27">
        <v>28</v>
      </c>
      <c r="E38" s="27">
        <f>D38</f>
        <v>28</v>
      </c>
      <c r="F38" s="27"/>
      <c r="G38" s="27">
        <v>446</v>
      </c>
      <c r="H38" s="30">
        <f>G38</f>
        <v>446</v>
      </c>
      <c r="I38" s="30">
        <f>H38+E38</f>
        <v>474</v>
      </c>
      <c r="J38" s="30">
        <f>4000*I38</f>
        <v>1896000</v>
      </c>
      <c r="K38" s="30"/>
      <c r="L38" s="46"/>
      <c r="M38" s="43">
        <f>J38+K38</f>
        <v>1896000</v>
      </c>
    </row>
    <row r="39" spans="1:13">
      <c r="A39" s="36">
        <v>11</v>
      </c>
      <c r="B39" s="33" t="s">
        <v>44</v>
      </c>
      <c r="C39" s="37"/>
      <c r="D39" s="37">
        <f>D40+D41+D42+D43</f>
        <v>2</v>
      </c>
      <c r="E39" s="37">
        <f>E40+E41+E42+E43</f>
        <v>2</v>
      </c>
      <c r="F39" s="37"/>
      <c r="G39" s="37">
        <f t="shared" ref="G39:M39" si="12">G40+G41+G42+G43</f>
        <v>82</v>
      </c>
      <c r="H39" s="38">
        <f t="shared" si="12"/>
        <v>82</v>
      </c>
      <c r="I39" s="38">
        <f t="shared" si="12"/>
        <v>86</v>
      </c>
      <c r="J39" s="45">
        <f t="shared" si="12"/>
        <v>421400</v>
      </c>
      <c r="K39" s="45">
        <f t="shared" si="12"/>
        <v>187600</v>
      </c>
      <c r="L39" s="47">
        <f t="shared" si="12"/>
        <v>0</v>
      </c>
      <c r="M39" s="216">
        <f t="shared" si="12"/>
        <v>609000</v>
      </c>
    </row>
    <row r="40" spans="1:13">
      <c r="A40" s="9"/>
      <c r="B40" s="24" t="s">
        <v>13</v>
      </c>
      <c r="C40" s="27"/>
      <c r="D40" s="27">
        <v>1</v>
      </c>
      <c r="E40" s="27">
        <f>D40</f>
        <v>1</v>
      </c>
      <c r="F40" s="27"/>
      <c r="G40" s="27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7"/>
      <c r="D41" s="27"/>
      <c r="E41" s="27">
        <f>D41</f>
        <v>0</v>
      </c>
      <c r="F41" s="27"/>
      <c r="G41" s="27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7"/>
      <c r="D42" s="27"/>
      <c r="E42" s="27">
        <f>D42</f>
        <v>0</v>
      </c>
      <c r="F42" s="27"/>
      <c r="G42" s="27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7"/>
      <c r="D43" s="27">
        <v>1</v>
      </c>
      <c r="E43" s="27">
        <f>D43</f>
        <v>1</v>
      </c>
      <c r="F43" s="27"/>
      <c r="G43" s="27">
        <f>E43*38</f>
        <v>38</v>
      </c>
      <c r="H43" s="30">
        <f>G43</f>
        <v>38</v>
      </c>
      <c r="I43" s="30">
        <f>H43+E43*2</f>
        <v>40</v>
      </c>
      <c r="J43" s="30">
        <f>5590*I43</f>
        <v>223600</v>
      </c>
      <c r="K43" s="30">
        <f>3200*H43</f>
        <v>121600</v>
      </c>
      <c r="L43" s="46"/>
      <c r="M43" s="43">
        <f>J43+K43</f>
        <v>345200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7"/>
      <c r="D45" s="27">
        <v>1</v>
      </c>
      <c r="E45" s="27">
        <f t="shared" ref="E45:E51" si="14">D45</f>
        <v>1</v>
      </c>
      <c r="F45" s="27"/>
      <c r="G45" s="27">
        <f>D45*40</f>
        <v>40</v>
      </c>
      <c r="H45" s="30">
        <f>G45</f>
        <v>40</v>
      </c>
      <c r="I45" s="27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7"/>
      <c r="D46" s="27">
        <v>1</v>
      </c>
      <c r="E46" s="27">
        <f t="shared" si="14"/>
        <v>1</v>
      </c>
      <c r="F46" s="27"/>
      <c r="G46" s="27">
        <f>D46*40</f>
        <v>40</v>
      </c>
      <c r="H46" s="30">
        <f>G46</f>
        <v>40</v>
      </c>
      <c r="I46" s="27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7"/>
      <c r="D48" s="27"/>
      <c r="E48" s="27">
        <f t="shared" si="14"/>
        <v>0</v>
      </c>
      <c r="F48" s="27"/>
      <c r="G48" s="27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6</v>
      </c>
      <c r="E49" s="37">
        <f>E50+E51</f>
        <v>6</v>
      </c>
      <c r="F49" s="37"/>
      <c r="G49" s="37">
        <f t="shared" ref="G49:M49" si="16">G50+G51</f>
        <v>116</v>
      </c>
      <c r="H49" s="37">
        <f t="shared" si="16"/>
        <v>116</v>
      </c>
      <c r="I49" s="37">
        <f t="shared" si="16"/>
        <v>122</v>
      </c>
      <c r="J49" s="37">
        <f t="shared" si="16"/>
        <v>464800</v>
      </c>
      <c r="K49" s="37">
        <f t="shared" si="16"/>
        <v>44800</v>
      </c>
      <c r="L49" s="37">
        <f t="shared" si="16"/>
        <v>0</v>
      </c>
      <c r="M49" s="219">
        <f t="shared" si="16"/>
        <v>509600</v>
      </c>
    </row>
    <row r="50" spans="1:13">
      <c r="A50" s="152"/>
      <c r="B50" s="155" t="s">
        <v>155</v>
      </c>
      <c r="C50" s="153"/>
      <c r="D50" s="153">
        <v>1</v>
      </c>
      <c r="E50" s="27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7"/>
      <c r="D51" s="27">
        <v>5</v>
      </c>
      <c r="E51" s="27">
        <f t="shared" si="14"/>
        <v>5</v>
      </c>
      <c r="F51" s="27"/>
      <c r="G51" s="153">
        <v>88</v>
      </c>
      <c r="H51" s="30">
        <f>G51</f>
        <v>88</v>
      </c>
      <c r="I51" s="30">
        <f>H51+E51</f>
        <v>93</v>
      </c>
      <c r="J51" s="30">
        <f>4000*I51</f>
        <v>372000</v>
      </c>
      <c r="K51" s="30"/>
      <c r="L51" s="46"/>
      <c r="M51" s="43">
        <f>J51+K51+(L51*15000)</f>
        <v>372000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/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164</v>
      </c>
      <c r="C58" s="81">
        <f>C59</f>
        <v>0</v>
      </c>
      <c r="D58" s="81">
        <f>D59</f>
        <v>0</v>
      </c>
      <c r="E58" s="81">
        <f>E59</f>
        <v>0</v>
      </c>
      <c r="F58" s="81"/>
      <c r="G58" s="81">
        <f>G59</f>
        <v>0</v>
      </c>
      <c r="H58" s="170">
        <f>H59</f>
        <v>0</v>
      </c>
      <c r="I58" s="170">
        <f>I59</f>
        <v>0</v>
      </c>
      <c r="J58" s="170">
        <f>J59</f>
        <v>0</v>
      </c>
      <c r="K58" s="170">
        <f>K59</f>
        <v>0</v>
      </c>
      <c r="L58" s="81">
        <f>L59+L63</f>
        <v>2</v>
      </c>
      <c r="M58" s="217">
        <f>M59</f>
        <v>0</v>
      </c>
    </row>
    <row r="59" spans="1:13">
      <c r="A59" s="14"/>
      <c r="B59" s="206" t="s">
        <v>156</v>
      </c>
      <c r="C59" s="29"/>
      <c r="D59" s="29">
        <v>0</v>
      </c>
      <c r="E59" s="29">
        <f>D58</f>
        <v>0</v>
      </c>
      <c r="F59" s="29"/>
      <c r="G59" s="29">
        <v>0</v>
      </c>
      <c r="H59" s="31">
        <f>G59</f>
        <v>0</v>
      </c>
      <c r="I59" s="31">
        <f>H59+E59*2</f>
        <v>0</v>
      </c>
      <c r="J59" s="79">
        <f>6500*I59</f>
        <v>0</v>
      </c>
      <c r="K59" s="31">
        <f>1500*H59</f>
        <v>0</v>
      </c>
      <c r="L59" s="49"/>
      <c r="M59" s="80">
        <f>J59+K59</f>
        <v>0</v>
      </c>
    </row>
    <row r="60" spans="1:13">
      <c r="A60" s="211">
        <v>19</v>
      </c>
      <c r="B60" s="212" t="s">
        <v>216</v>
      </c>
      <c r="C60" s="209">
        <f t="shared" ref="C60:K60" si="19">C61</f>
        <v>1</v>
      </c>
      <c r="D60" s="209">
        <f t="shared" si="19"/>
        <v>0</v>
      </c>
      <c r="E60" s="209">
        <f t="shared" si="19"/>
        <v>1</v>
      </c>
      <c r="F60" s="209">
        <f t="shared" si="19"/>
        <v>39</v>
      </c>
      <c r="G60" s="209">
        <f t="shared" si="19"/>
        <v>0</v>
      </c>
      <c r="H60" s="210">
        <f t="shared" si="19"/>
        <v>39</v>
      </c>
      <c r="I60" s="210">
        <f t="shared" si="19"/>
        <v>41</v>
      </c>
      <c r="J60" s="210">
        <f t="shared" si="19"/>
        <v>266500</v>
      </c>
      <c r="K60" s="210">
        <f t="shared" si="19"/>
        <v>124800</v>
      </c>
      <c r="L60" s="209"/>
      <c r="M60" s="218">
        <f>M61</f>
        <v>391300</v>
      </c>
    </row>
    <row r="61" spans="1:13">
      <c r="A61" s="14"/>
      <c r="B61" s="205" t="s">
        <v>213</v>
      </c>
      <c r="C61" s="207">
        <v>1</v>
      </c>
      <c r="D61" s="207"/>
      <c r="E61" s="207">
        <f>C61</f>
        <v>1</v>
      </c>
      <c r="F61" s="207">
        <v>39</v>
      </c>
      <c r="G61" s="207"/>
      <c r="H61" s="208">
        <f>F61</f>
        <v>39</v>
      </c>
      <c r="I61" s="208">
        <f>H61+E61*2</f>
        <v>41</v>
      </c>
      <c r="J61" s="30">
        <f>6500*I61</f>
        <v>266500</v>
      </c>
      <c r="K61" s="30">
        <f>3200*H61</f>
        <v>124800</v>
      </c>
      <c r="L61" s="49"/>
      <c r="M61" s="43">
        <f>J61+K61</f>
        <v>391300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2</v>
      </c>
      <c r="M63" s="57">
        <f>43200*L63</f>
        <v>86400</v>
      </c>
    </row>
    <row r="64" spans="1:13" ht="13.5" thickBot="1">
      <c r="A64" s="51"/>
      <c r="B64" s="42" t="s">
        <v>54</v>
      </c>
      <c r="C64" s="42">
        <f>C8+C13+C28+C33+C60</f>
        <v>44</v>
      </c>
      <c r="D64" s="42">
        <f>D8+D13+D20+D22+D24+D26+D28+D31+D33+D37+D39+D44+D47+D49+D52+D54+D56+D58</f>
        <v>252</v>
      </c>
      <c r="E64" s="42">
        <f>E8+E13+E20+E22+E24+E26+E28+E31+E33+E37+E39+E44+E47+E49+E52+E54+E56+E58+E60</f>
        <v>296</v>
      </c>
      <c r="F64" s="42">
        <f>F8+F13+F28+F33+F60</f>
        <v>810</v>
      </c>
      <c r="G64" s="42">
        <f>G8+G13+G20+G22+G24+G26+G28+G31+G33+G37+G39+G44+G47+G49+G52+G54+G56+G58</f>
        <v>4596</v>
      </c>
      <c r="H64" s="42">
        <f>H8+H13+H20+H22+H24+H26+H28+H31+H33+H37+H39+H44+H47+H49+H52+H54+H56+H58+H60</f>
        <v>5406</v>
      </c>
      <c r="I64" s="42">
        <f>I8+I13+I20+I22+I24+I26+I28+I31+I33+I37+I39+I44+I47+I49+I52+I54+I56+I58+I60</f>
        <v>5724</v>
      </c>
      <c r="J64" s="42">
        <f>J8+J13+J20+J22+J24+J26+J28+J31+J33+J37+J39+J44+J47+J49+J52+J54+J56+J58</f>
        <v>19064560</v>
      </c>
      <c r="K64" s="42">
        <f>K8+K13+K20+K22+K24+K26+K28+K31+K33+K37+K39+K44+K47+K49+K52+K54+K56+K58</f>
        <v>3278800</v>
      </c>
      <c r="L64" s="50"/>
      <c r="M64" s="42">
        <f>M8+M13+M20+M22+M24+M26+M28+M31+M33+M37+M39+M44+M47+M49+M52+M54+M56+M58+M60+M65+M66</f>
        <v>22871060</v>
      </c>
    </row>
    <row r="65" spans="2:13" ht="14.25" thickTop="1" thickBot="1">
      <c r="D65" s="337"/>
      <c r="E65" s="337"/>
      <c r="J65" s="115"/>
      <c r="K65" s="149" t="s">
        <v>96</v>
      </c>
      <c r="L65" s="147">
        <v>1</v>
      </c>
      <c r="M65" s="149">
        <f>20000*L65</f>
        <v>20000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>
        <v>0</v>
      </c>
      <c r="G67" s="145">
        <v>14</v>
      </c>
      <c r="H67" s="119"/>
      <c r="K67" s="97" t="s">
        <v>32</v>
      </c>
      <c r="L67" s="4">
        <f>L65+L66</f>
        <v>3</v>
      </c>
    </row>
    <row r="68" spans="2:13" ht="13.5" thickBot="1">
      <c r="B68" s="120" t="s">
        <v>75</v>
      </c>
      <c r="C68" s="131">
        <f t="shared" ref="C68:C74" si="20">F68+G68</f>
        <v>9</v>
      </c>
      <c r="D68" s="342">
        <f>C68*30000</f>
        <v>270000</v>
      </c>
      <c r="E68" s="343"/>
      <c r="F68" s="122">
        <v>2</v>
      </c>
      <c r="G68" s="139">
        <v>7</v>
      </c>
      <c r="H68" s="135"/>
      <c r="I68" s="102"/>
      <c r="J68" s="102"/>
      <c r="L68" s="4"/>
    </row>
    <row r="69" spans="2:13">
      <c r="B69" s="120" t="s">
        <v>76</v>
      </c>
      <c r="C69" s="131">
        <f t="shared" si="20"/>
        <v>13</v>
      </c>
      <c r="D69" s="329">
        <f>C69*35000</f>
        <v>455000</v>
      </c>
      <c r="E69" s="330"/>
      <c r="F69" s="121">
        <v>4</v>
      </c>
      <c r="G69" s="138">
        <v>9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6</v>
      </c>
      <c r="D70" s="329">
        <f>C70*20000</f>
        <v>120000</v>
      </c>
      <c r="E70" s="330"/>
      <c r="F70" s="121">
        <v>3</v>
      </c>
      <c r="G70" s="138">
        <v>3</v>
      </c>
      <c r="H70" s="135"/>
      <c r="I70" s="97"/>
      <c r="K70" s="109" t="s">
        <v>132</v>
      </c>
      <c r="L70" s="163">
        <f>C77</f>
        <v>40</v>
      </c>
      <c r="M70" s="110">
        <f>D77</f>
        <v>1289080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49</v>
      </c>
      <c r="M71" s="112">
        <f>D78+D79</f>
        <v>456000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47</v>
      </c>
      <c r="M72" s="114">
        <f>L72*20000</f>
        <v>940000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50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1</v>
      </c>
      <c r="D76" s="351">
        <f>42*2240</f>
        <v>94080</v>
      </c>
      <c r="E76" s="352"/>
      <c r="F76" s="128"/>
      <c r="G76" s="142">
        <v>1</v>
      </c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40</v>
      </c>
      <c r="D77" s="344">
        <f>SUM(D67:E76)</f>
        <v>1289080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9</v>
      </c>
      <c r="D78" s="346">
        <v>72000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40</v>
      </c>
      <c r="D79" s="348">
        <v>384000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I74" sqref="I74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7" t="s">
        <v>35</v>
      </c>
      <c r="D7" s="27" t="s">
        <v>36</v>
      </c>
      <c r="E7" s="27" t="s">
        <v>32</v>
      </c>
      <c r="F7" s="27" t="s">
        <v>34</v>
      </c>
      <c r="G7" s="27" t="s">
        <v>37</v>
      </c>
      <c r="H7" s="28" t="s">
        <v>39</v>
      </c>
      <c r="I7" s="27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2</v>
      </c>
      <c r="E8" s="34">
        <f>SUM(E9:E12)</f>
        <v>3</v>
      </c>
      <c r="F8" s="34">
        <f>F9</f>
        <v>24</v>
      </c>
      <c r="G8" s="34">
        <f>G10+G11+G12</f>
        <v>68</v>
      </c>
      <c r="H8" s="35">
        <f>SUM(H9:H12)</f>
        <v>92</v>
      </c>
      <c r="I8" s="35">
        <f>SUM(I9:I12)</f>
        <v>96</v>
      </c>
      <c r="J8" s="35">
        <f>SUM(J9:J12)</f>
        <v>344000</v>
      </c>
      <c r="K8" s="35">
        <f>SUM(K9:K12)</f>
        <v>76800</v>
      </c>
      <c r="L8" s="34">
        <f>L9+L10+L11+L12</f>
        <v>0</v>
      </c>
      <c r="M8" s="35">
        <f>SUM(M9:M12)</f>
        <v>420800</v>
      </c>
    </row>
    <row r="9" spans="1:13">
      <c r="A9" s="8"/>
      <c r="B9" s="1" t="s">
        <v>3</v>
      </c>
      <c r="C9" s="27">
        <v>1</v>
      </c>
      <c r="D9" s="27"/>
      <c r="E9" s="27">
        <f>C9</f>
        <v>1</v>
      </c>
      <c r="F9" s="27">
        <f>E9*24</f>
        <v>24</v>
      </c>
      <c r="G9" s="27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7"/>
      <c r="D10" s="27">
        <v>1</v>
      </c>
      <c r="E10" s="27">
        <f>D10</f>
        <v>1</v>
      </c>
      <c r="F10" s="27"/>
      <c r="G10" s="27">
        <v>24</v>
      </c>
      <c r="H10" s="30">
        <f>G10</f>
        <v>24</v>
      </c>
      <c r="I10" s="30">
        <f>H10+E10</f>
        <v>25</v>
      </c>
      <c r="J10" s="30">
        <f>3200*I10</f>
        <v>80000</v>
      </c>
      <c r="K10" s="30">
        <f t="shared" ref="K10:K19" si="0">1600*H10</f>
        <v>38400</v>
      </c>
      <c r="L10" s="46"/>
      <c r="M10" s="43">
        <f>J10+K10</f>
        <v>118400</v>
      </c>
    </row>
    <row r="11" spans="1:13">
      <c r="A11" s="10"/>
      <c r="B11" s="1" t="s">
        <v>5</v>
      </c>
      <c r="C11" s="27"/>
      <c r="D11" s="27"/>
      <c r="E11" s="27">
        <f>D11</f>
        <v>0</v>
      </c>
      <c r="F11" s="27"/>
      <c r="G11" s="27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7"/>
      <c r="D12" s="27">
        <v>1</v>
      </c>
      <c r="E12" s="27">
        <f>D12</f>
        <v>1</v>
      </c>
      <c r="F12" s="27"/>
      <c r="G12" s="27">
        <v>44</v>
      </c>
      <c r="H12" s="30">
        <f>G12</f>
        <v>44</v>
      </c>
      <c r="I12" s="30">
        <f>H12+E12*2</f>
        <v>46</v>
      </c>
      <c r="J12" s="30">
        <f>4000*I12</f>
        <v>184000</v>
      </c>
      <c r="K12" s="30"/>
      <c r="L12" s="46"/>
      <c r="M12" s="43">
        <f>J12+K12</f>
        <v>184000</v>
      </c>
    </row>
    <row r="13" spans="1:13">
      <c r="A13" s="36">
        <v>2</v>
      </c>
      <c r="B13" s="33" t="s">
        <v>21</v>
      </c>
      <c r="C13" s="37">
        <f>C14</f>
        <v>23</v>
      </c>
      <c r="D13" s="37">
        <f>D15+D16+D17+D18+D19</f>
        <v>41</v>
      </c>
      <c r="E13" s="37">
        <f>SUM(E14:E19)</f>
        <v>64</v>
      </c>
      <c r="F13" s="37">
        <f>F14</f>
        <v>345</v>
      </c>
      <c r="G13" s="37">
        <f>G15+G16+G17+G18+G19</f>
        <v>615</v>
      </c>
      <c r="H13" s="37">
        <f>SUM(H14:H19)</f>
        <v>960</v>
      </c>
      <c r="I13" s="37">
        <f>SUM(I14:I19)</f>
        <v>1024</v>
      </c>
      <c r="J13" s="37">
        <f>SUM(J14:J19)</f>
        <v>3276800</v>
      </c>
      <c r="K13" s="37">
        <f>SUM(K14:K19)</f>
        <v>1536000</v>
      </c>
      <c r="L13" s="47">
        <f>L14+L15+L16+L17+L18+L19</f>
        <v>0</v>
      </c>
      <c r="M13" s="38">
        <f>SUM(M14:M19)</f>
        <v>4812800</v>
      </c>
    </row>
    <row r="14" spans="1:13">
      <c r="A14" s="12"/>
      <c r="B14" s="1" t="s">
        <v>3</v>
      </c>
      <c r="C14" s="27">
        <v>23</v>
      </c>
      <c r="D14" s="27"/>
      <c r="E14" s="27">
        <f>C14</f>
        <v>23</v>
      </c>
      <c r="F14" s="27">
        <f>C14*15</f>
        <v>345</v>
      </c>
      <c r="G14" s="27"/>
      <c r="H14" s="30">
        <f>F14</f>
        <v>345</v>
      </c>
      <c r="I14" s="30">
        <f t="shared" ref="I14:I19" si="1">H14+E14</f>
        <v>368</v>
      </c>
      <c r="J14" s="30">
        <f t="shared" ref="J14:J19" si="2">3200*I14</f>
        <v>1177600</v>
      </c>
      <c r="K14" s="30">
        <f t="shared" si="0"/>
        <v>552000</v>
      </c>
      <c r="L14" s="46"/>
      <c r="M14" s="43">
        <f t="shared" ref="M14:M19" si="3">J14+K14</f>
        <v>1729600</v>
      </c>
    </row>
    <row r="15" spans="1:13">
      <c r="A15" s="12"/>
      <c r="B15" s="1" t="s">
        <v>6</v>
      </c>
      <c r="C15" s="27"/>
      <c r="D15" s="27">
        <v>18</v>
      </c>
      <c r="E15" s="27">
        <f>D15</f>
        <v>18</v>
      </c>
      <c r="F15" s="27"/>
      <c r="G15" s="27">
        <f>D15*15</f>
        <v>270</v>
      </c>
      <c r="H15" s="30">
        <f>G15</f>
        <v>270</v>
      </c>
      <c r="I15" s="30">
        <f t="shared" si="1"/>
        <v>288</v>
      </c>
      <c r="J15" s="30">
        <f t="shared" si="2"/>
        <v>921600</v>
      </c>
      <c r="K15" s="30">
        <f t="shared" si="0"/>
        <v>432000</v>
      </c>
      <c r="L15" s="46"/>
      <c r="M15" s="43">
        <f t="shared" si="3"/>
        <v>1353600</v>
      </c>
    </row>
    <row r="16" spans="1:13">
      <c r="A16" s="12"/>
      <c r="B16" s="1" t="s">
        <v>5</v>
      </c>
      <c r="C16" s="27"/>
      <c r="D16" s="27">
        <v>20</v>
      </c>
      <c r="E16" s="27">
        <f>D16</f>
        <v>20</v>
      </c>
      <c r="F16" s="27"/>
      <c r="G16" s="27">
        <f>D16*15</f>
        <v>300</v>
      </c>
      <c r="H16" s="30">
        <f>G16</f>
        <v>300</v>
      </c>
      <c r="I16" s="30">
        <f t="shared" si="1"/>
        <v>320</v>
      </c>
      <c r="J16" s="30">
        <f t="shared" si="2"/>
        <v>1024000</v>
      </c>
      <c r="K16" s="30">
        <f t="shared" si="0"/>
        <v>480000</v>
      </c>
      <c r="L16" s="46"/>
      <c r="M16" s="43">
        <f t="shared" si="3"/>
        <v>1504000</v>
      </c>
    </row>
    <row r="17" spans="1:13">
      <c r="A17" s="12"/>
      <c r="B17" s="2" t="s">
        <v>7</v>
      </c>
      <c r="C17" s="27"/>
      <c r="D17" s="27"/>
      <c r="E17" s="27">
        <f>D17</f>
        <v>0</v>
      </c>
      <c r="F17" s="27"/>
      <c r="G17" s="27">
        <f>D17*15</f>
        <v>0</v>
      </c>
      <c r="H17" s="30">
        <f>G17</f>
        <v>0</v>
      </c>
      <c r="I17" s="30">
        <f t="shared" si="1"/>
        <v>0</v>
      </c>
      <c r="J17" s="30">
        <f t="shared" si="2"/>
        <v>0</v>
      </c>
      <c r="K17" s="30">
        <f t="shared" si="0"/>
        <v>0</v>
      </c>
      <c r="L17" s="46"/>
      <c r="M17" s="43">
        <f t="shared" si="3"/>
        <v>0</v>
      </c>
    </row>
    <row r="18" spans="1:13">
      <c r="A18" s="13"/>
      <c r="B18" s="2" t="s">
        <v>8</v>
      </c>
      <c r="C18" s="27"/>
      <c r="D18" s="27">
        <v>1</v>
      </c>
      <c r="E18" s="27">
        <f>D18</f>
        <v>1</v>
      </c>
      <c r="F18" s="27"/>
      <c r="G18" s="27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7"/>
      <c r="D19" s="27">
        <v>2</v>
      </c>
      <c r="E19" s="27">
        <f>D19</f>
        <v>2</v>
      </c>
      <c r="F19" s="27"/>
      <c r="G19" s="27">
        <f>D19*15</f>
        <v>30</v>
      </c>
      <c r="H19" s="30">
        <f>G19</f>
        <v>30</v>
      </c>
      <c r="I19" s="30">
        <f t="shared" si="1"/>
        <v>32</v>
      </c>
      <c r="J19" s="30">
        <f t="shared" si="2"/>
        <v>102400</v>
      </c>
      <c r="K19" s="30">
        <f t="shared" si="0"/>
        <v>48000</v>
      </c>
      <c r="L19" s="46"/>
      <c r="M19" s="43">
        <f t="shared" si="3"/>
        <v>150400</v>
      </c>
    </row>
    <row r="20" spans="1:13">
      <c r="A20" s="36">
        <v>3</v>
      </c>
      <c r="B20" s="33" t="s">
        <v>22</v>
      </c>
      <c r="C20" s="37"/>
      <c r="D20" s="37">
        <f>D21</f>
        <v>137</v>
      </c>
      <c r="E20" s="37">
        <f>E21</f>
        <v>137</v>
      </c>
      <c r="F20" s="37"/>
      <c r="G20" s="37">
        <f t="shared" ref="G20:M20" si="4">G21</f>
        <v>2414</v>
      </c>
      <c r="H20" s="37">
        <f t="shared" si="4"/>
        <v>2414</v>
      </c>
      <c r="I20" s="37">
        <f t="shared" si="4"/>
        <v>2564</v>
      </c>
      <c r="J20" s="37">
        <f t="shared" si="4"/>
        <v>8204800</v>
      </c>
      <c r="K20" s="37">
        <f t="shared" si="4"/>
        <v>0</v>
      </c>
      <c r="L20" s="47">
        <f t="shared" si="4"/>
        <v>0</v>
      </c>
      <c r="M20" s="38">
        <f t="shared" si="4"/>
        <v>8204800</v>
      </c>
    </row>
    <row r="21" spans="1:13">
      <c r="A21" s="10"/>
      <c r="B21" s="24" t="s">
        <v>19</v>
      </c>
      <c r="C21" s="27"/>
      <c r="D21" s="27">
        <v>137</v>
      </c>
      <c r="E21" s="27">
        <f>D21</f>
        <v>137</v>
      </c>
      <c r="F21" s="27"/>
      <c r="G21" s="27">
        <v>2414</v>
      </c>
      <c r="H21" s="30">
        <f>G20</f>
        <v>2414</v>
      </c>
      <c r="I21" s="30">
        <v>2564</v>
      </c>
      <c r="J21" s="30">
        <f>3200*I21</f>
        <v>8204800</v>
      </c>
      <c r="K21" s="30"/>
      <c r="L21" s="46"/>
      <c r="M21" s="43">
        <f>J21+K21</f>
        <v>8204800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7"/>
      <c r="D23" s="27">
        <v>1</v>
      </c>
      <c r="E23" s="27">
        <f>D22</f>
        <v>1</v>
      </c>
      <c r="F23" s="27"/>
      <c r="G23" s="27">
        <f>E23*32</f>
        <v>32</v>
      </c>
      <c r="H23" s="30">
        <f>G22</f>
        <v>32</v>
      </c>
      <c r="I23" s="27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7"/>
      <c r="D25" s="27">
        <v>1</v>
      </c>
      <c r="E25" s="27">
        <f>D24</f>
        <v>1</v>
      </c>
      <c r="F25" s="27"/>
      <c r="G25" s="27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7"/>
      <c r="D27" s="27">
        <v>1</v>
      </c>
      <c r="E27" s="27">
        <f>D26</f>
        <v>1</v>
      </c>
      <c r="F27" s="27"/>
      <c r="G27" s="27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5</v>
      </c>
      <c r="E28" s="37">
        <f>E29+E30</f>
        <v>8</v>
      </c>
      <c r="F28" s="37">
        <f>F29</f>
        <v>76</v>
      </c>
      <c r="G28" s="37">
        <f>G30</f>
        <v>124</v>
      </c>
      <c r="H28" s="38">
        <f t="shared" ref="H28:M28" si="8">H29+H30</f>
        <v>200</v>
      </c>
      <c r="I28" s="38">
        <f t="shared" si="8"/>
        <v>208</v>
      </c>
      <c r="J28" s="38">
        <f t="shared" si="8"/>
        <v>665600</v>
      </c>
      <c r="K28" s="38">
        <f t="shared" si="8"/>
        <v>320000</v>
      </c>
      <c r="L28" s="48">
        <f t="shared" si="8"/>
        <v>0</v>
      </c>
      <c r="M28" s="216">
        <f t="shared" si="8"/>
        <v>985600</v>
      </c>
    </row>
    <row r="29" spans="1:13">
      <c r="A29" s="12"/>
      <c r="B29" s="1" t="s">
        <v>3</v>
      </c>
      <c r="C29" s="27">
        <v>3</v>
      </c>
      <c r="D29" s="27"/>
      <c r="E29" s="27">
        <f>C29</f>
        <v>3</v>
      </c>
      <c r="F29" s="27">
        <v>76</v>
      </c>
      <c r="G29" s="27"/>
      <c r="H29" s="30">
        <f>F29</f>
        <v>76</v>
      </c>
      <c r="I29" s="30">
        <f>H29+E29</f>
        <v>79</v>
      </c>
      <c r="J29" s="30">
        <f>3200*I29</f>
        <v>252800</v>
      </c>
      <c r="K29" s="30">
        <f>1600*H29</f>
        <v>121600</v>
      </c>
      <c r="L29" s="46"/>
      <c r="M29" s="43">
        <f>J29+K29</f>
        <v>374400</v>
      </c>
    </row>
    <row r="30" spans="1:13">
      <c r="A30" s="12"/>
      <c r="B30" s="1" t="s">
        <v>11</v>
      </c>
      <c r="C30" s="27"/>
      <c r="D30" s="27">
        <v>5</v>
      </c>
      <c r="E30" s="27">
        <f>D30</f>
        <v>5</v>
      </c>
      <c r="F30" s="27"/>
      <c r="G30" s="30">
        <v>124</v>
      </c>
      <c r="H30" s="30">
        <f>G30</f>
        <v>124</v>
      </c>
      <c r="I30" s="30">
        <f>H30+E30</f>
        <v>129</v>
      </c>
      <c r="J30" s="30">
        <f>3200*I30</f>
        <v>412800</v>
      </c>
      <c r="K30" s="30">
        <f>1600*H30</f>
        <v>198400</v>
      </c>
      <c r="L30" s="46"/>
      <c r="M30" s="43">
        <f>J30+K30+M62</f>
        <v>611200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28</v>
      </c>
      <c r="E31" s="37">
        <f t="shared" si="9"/>
        <v>28</v>
      </c>
      <c r="F31" s="37">
        <f t="shared" si="9"/>
        <v>0</v>
      </c>
      <c r="G31" s="37">
        <f t="shared" si="9"/>
        <v>420</v>
      </c>
      <c r="H31" s="37">
        <f t="shared" si="9"/>
        <v>420</v>
      </c>
      <c r="I31" s="37">
        <f t="shared" si="9"/>
        <v>448</v>
      </c>
      <c r="J31" s="37">
        <f t="shared" si="9"/>
        <v>1433600</v>
      </c>
      <c r="K31" s="37">
        <f t="shared" si="9"/>
        <v>0</v>
      </c>
      <c r="L31" s="37">
        <f t="shared" si="9"/>
        <v>0</v>
      </c>
      <c r="M31" s="38">
        <f t="shared" si="9"/>
        <v>1433600</v>
      </c>
    </row>
    <row r="32" spans="1:13">
      <c r="A32" s="10"/>
      <c r="B32" s="24" t="s">
        <v>19</v>
      </c>
      <c r="C32" s="27"/>
      <c r="D32" s="27">
        <v>28</v>
      </c>
      <c r="E32" s="27">
        <f>D32</f>
        <v>28</v>
      </c>
      <c r="F32" s="27"/>
      <c r="G32" s="27">
        <f>E32*15</f>
        <v>420</v>
      </c>
      <c r="H32" s="30">
        <f>G32</f>
        <v>420</v>
      </c>
      <c r="I32" s="30">
        <f>H32+E32</f>
        <v>448</v>
      </c>
      <c r="J32" s="30">
        <f>3200*I32</f>
        <v>1433600</v>
      </c>
      <c r="K32" s="30"/>
      <c r="L32" s="46"/>
      <c r="M32" s="43">
        <f>J32+K32</f>
        <v>1433600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11</v>
      </c>
      <c r="E33" s="37">
        <f>E34+E35+E36</f>
        <v>17</v>
      </c>
      <c r="F33" s="37">
        <f>F34</f>
        <v>167</v>
      </c>
      <c r="G33" s="37">
        <f>G35+G36</f>
        <v>294</v>
      </c>
      <c r="H33" s="38">
        <f t="shared" ref="H33:M33" si="10">H34+H35+H36</f>
        <v>461</v>
      </c>
      <c r="I33" s="38">
        <f t="shared" si="10"/>
        <v>479</v>
      </c>
      <c r="J33" s="35">
        <f t="shared" si="10"/>
        <v>1584000</v>
      </c>
      <c r="K33" s="35">
        <f t="shared" si="10"/>
        <v>640000</v>
      </c>
      <c r="L33" s="47">
        <f t="shared" si="10"/>
        <v>0</v>
      </c>
      <c r="M33" s="216">
        <f t="shared" si="10"/>
        <v>2267200</v>
      </c>
    </row>
    <row r="34" spans="1:13">
      <c r="A34" s="12"/>
      <c r="B34" s="1" t="s">
        <v>3</v>
      </c>
      <c r="C34" s="27">
        <v>6</v>
      </c>
      <c r="D34" s="27"/>
      <c r="E34" s="27">
        <f>C34</f>
        <v>6</v>
      </c>
      <c r="F34" s="27">
        <v>167</v>
      </c>
      <c r="G34" s="27"/>
      <c r="H34" s="30">
        <f>F34</f>
        <v>167</v>
      </c>
      <c r="I34" s="30">
        <f>H34+E34</f>
        <v>173</v>
      </c>
      <c r="J34" s="30">
        <f>3200*I34</f>
        <v>553600</v>
      </c>
      <c r="K34" s="30">
        <f>1600*H34</f>
        <v>267200</v>
      </c>
      <c r="L34" s="46"/>
      <c r="M34" s="43">
        <f>J34+K34</f>
        <v>820800</v>
      </c>
    </row>
    <row r="35" spans="1:13">
      <c r="A35" s="13"/>
      <c r="B35" s="1" t="s">
        <v>12</v>
      </c>
      <c r="C35" s="27"/>
      <c r="D35" s="27">
        <v>9</v>
      </c>
      <c r="E35" s="27">
        <f>D35</f>
        <v>9</v>
      </c>
      <c r="F35" s="27"/>
      <c r="G35" s="27">
        <v>233</v>
      </c>
      <c r="H35" s="30">
        <f>G35</f>
        <v>233</v>
      </c>
      <c r="I35" s="30">
        <f>H35+E35</f>
        <v>242</v>
      </c>
      <c r="J35" s="30">
        <f>3200*I35</f>
        <v>774400</v>
      </c>
      <c r="K35" s="30">
        <f>1600*H35</f>
        <v>372800</v>
      </c>
      <c r="L35" s="46"/>
      <c r="M35" s="43">
        <f>J35+K35+M63</f>
        <v>1190400</v>
      </c>
    </row>
    <row r="36" spans="1:13">
      <c r="A36" s="13"/>
      <c r="B36" s="96" t="s">
        <v>128</v>
      </c>
      <c r="C36" s="27"/>
      <c r="D36" s="27">
        <v>2</v>
      </c>
      <c r="E36" s="27">
        <f>D36</f>
        <v>2</v>
      </c>
      <c r="F36" s="27"/>
      <c r="G36" s="27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27</v>
      </c>
      <c r="E37" s="37">
        <f>E38</f>
        <v>27</v>
      </c>
      <c r="F37" s="37"/>
      <c r="G37" s="37">
        <f t="shared" ref="G37:M37" si="11">G38</f>
        <v>444</v>
      </c>
      <c r="H37" s="38">
        <f t="shared" si="11"/>
        <v>444</v>
      </c>
      <c r="I37" s="38">
        <f t="shared" si="11"/>
        <v>471</v>
      </c>
      <c r="J37" s="38">
        <f t="shared" si="11"/>
        <v>1884000</v>
      </c>
      <c r="K37" s="38">
        <f t="shared" si="11"/>
        <v>0</v>
      </c>
      <c r="L37" s="48">
        <f t="shared" si="11"/>
        <v>0</v>
      </c>
      <c r="M37" s="216">
        <f t="shared" si="11"/>
        <v>1884000</v>
      </c>
    </row>
    <row r="38" spans="1:13">
      <c r="A38" s="13"/>
      <c r="B38" s="96" t="s">
        <v>128</v>
      </c>
      <c r="C38" s="27"/>
      <c r="D38" s="27">
        <v>27</v>
      </c>
      <c r="E38" s="27">
        <f>D38</f>
        <v>27</v>
      </c>
      <c r="F38" s="27"/>
      <c r="G38" s="27">
        <v>444</v>
      </c>
      <c r="H38" s="30">
        <f>G38</f>
        <v>444</v>
      </c>
      <c r="I38" s="30">
        <f>H38+E38</f>
        <v>471</v>
      </c>
      <c r="J38" s="30">
        <f>4000*I38</f>
        <v>1884000</v>
      </c>
      <c r="K38" s="30"/>
      <c r="L38" s="46"/>
      <c r="M38" s="43">
        <f>J38+K38</f>
        <v>1884000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40</v>
      </c>
      <c r="H39" s="38">
        <f t="shared" si="12"/>
        <v>40</v>
      </c>
      <c r="I39" s="38">
        <f t="shared" si="12"/>
        <v>42</v>
      </c>
      <c r="J39" s="45">
        <f t="shared" si="12"/>
        <v>180600</v>
      </c>
      <c r="K39" s="45">
        <f t="shared" si="12"/>
        <v>60000</v>
      </c>
      <c r="L39" s="47">
        <f t="shared" si="12"/>
        <v>0</v>
      </c>
      <c r="M39" s="216">
        <f t="shared" si="12"/>
        <v>240600</v>
      </c>
    </row>
    <row r="40" spans="1:13">
      <c r="A40" s="9"/>
      <c r="B40" s="24" t="s">
        <v>13</v>
      </c>
      <c r="C40" s="27"/>
      <c r="D40" s="27"/>
      <c r="E40" s="27">
        <f>D40</f>
        <v>0</v>
      </c>
      <c r="F40" s="27"/>
      <c r="G40" s="27">
        <f>E40*44</f>
        <v>0</v>
      </c>
      <c r="H40" s="30">
        <f>G40</f>
        <v>0</v>
      </c>
      <c r="I40" s="30">
        <f>H40+E40*2</f>
        <v>0</v>
      </c>
      <c r="J40" s="30">
        <f>4300*I40</f>
        <v>0</v>
      </c>
      <c r="K40" s="30">
        <f>1500*H40</f>
        <v>0</v>
      </c>
      <c r="L40" s="46"/>
      <c r="M40" s="43">
        <f>J40+K40</f>
        <v>0</v>
      </c>
    </row>
    <row r="41" spans="1:13">
      <c r="A41" s="9"/>
      <c r="B41" s="24" t="s">
        <v>14</v>
      </c>
      <c r="C41" s="27"/>
      <c r="D41" s="27">
        <v>1</v>
      </c>
      <c r="E41" s="27">
        <f>D41</f>
        <v>1</v>
      </c>
      <c r="F41" s="27"/>
      <c r="G41" s="27">
        <f>E41*40</f>
        <v>40</v>
      </c>
      <c r="H41" s="30">
        <f>G41</f>
        <v>40</v>
      </c>
      <c r="I41" s="30">
        <f>E41*42</f>
        <v>42</v>
      </c>
      <c r="J41" s="30">
        <f>4300*I41</f>
        <v>180600</v>
      </c>
      <c r="K41" s="30">
        <f>1500*H41</f>
        <v>60000</v>
      </c>
      <c r="L41" s="46"/>
      <c r="M41" s="43">
        <f>J41+K41</f>
        <v>240600</v>
      </c>
    </row>
    <row r="42" spans="1:13">
      <c r="A42" s="9"/>
      <c r="B42" s="24" t="s">
        <v>15</v>
      </c>
      <c r="C42" s="27"/>
      <c r="D42" s="27"/>
      <c r="E42" s="27">
        <f>D42</f>
        <v>0</v>
      </c>
      <c r="F42" s="27"/>
      <c r="G42" s="27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7"/>
      <c r="D43" s="27"/>
      <c r="E43" s="27">
        <f>D43</f>
        <v>0</v>
      </c>
      <c r="F43" s="27"/>
      <c r="G43" s="27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7"/>
      <c r="D45" s="27">
        <v>1</v>
      </c>
      <c r="E45" s="27">
        <f t="shared" ref="E45:E51" si="14">D45</f>
        <v>1</v>
      </c>
      <c r="F45" s="27"/>
      <c r="G45" s="27">
        <f>D45*40</f>
        <v>40</v>
      </c>
      <c r="H45" s="30">
        <f>G45</f>
        <v>40</v>
      </c>
      <c r="I45" s="27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7"/>
      <c r="D46" s="27">
        <v>1</v>
      </c>
      <c r="E46" s="27">
        <f t="shared" si="14"/>
        <v>1</v>
      </c>
      <c r="F46" s="27"/>
      <c r="G46" s="27">
        <f>D46*40</f>
        <v>40</v>
      </c>
      <c r="H46" s="30">
        <f>G46</f>
        <v>40</v>
      </c>
      <c r="I46" s="27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1</v>
      </c>
      <c r="E47" s="37">
        <f t="shared" si="14"/>
        <v>1</v>
      </c>
      <c r="F47" s="37"/>
      <c r="G47" s="37">
        <f t="shared" ref="G47:M47" si="15">G48</f>
        <v>28</v>
      </c>
      <c r="H47" s="38">
        <f t="shared" si="15"/>
        <v>28</v>
      </c>
      <c r="I47" s="38">
        <f t="shared" si="15"/>
        <v>29</v>
      </c>
      <c r="J47" s="38">
        <f t="shared" si="15"/>
        <v>124700</v>
      </c>
      <c r="K47" s="38">
        <f t="shared" si="15"/>
        <v>70000</v>
      </c>
      <c r="L47" s="48">
        <f t="shared" si="15"/>
        <v>0</v>
      </c>
      <c r="M47" s="216">
        <f t="shared" si="15"/>
        <v>194700</v>
      </c>
    </row>
    <row r="48" spans="1:13">
      <c r="A48" s="19"/>
      <c r="B48" s="26" t="s">
        <v>17</v>
      </c>
      <c r="C48" s="27"/>
      <c r="D48" s="27">
        <v>1</v>
      </c>
      <c r="E48" s="27">
        <f t="shared" si="14"/>
        <v>1</v>
      </c>
      <c r="F48" s="27"/>
      <c r="G48" s="27">
        <f>D48*28</f>
        <v>28</v>
      </c>
      <c r="H48" s="30">
        <f>G48</f>
        <v>28</v>
      </c>
      <c r="I48" s="30">
        <f>H48+E48</f>
        <v>29</v>
      </c>
      <c r="J48" s="30">
        <f>4300*I48</f>
        <v>124700</v>
      </c>
      <c r="K48" s="30">
        <f>2500*H48</f>
        <v>70000</v>
      </c>
      <c r="L48" s="46"/>
      <c r="M48" s="43">
        <f>J48+K48</f>
        <v>194700</v>
      </c>
    </row>
    <row r="49" spans="1:13">
      <c r="A49" s="36">
        <v>14</v>
      </c>
      <c r="B49" s="33" t="s">
        <v>30</v>
      </c>
      <c r="C49" s="37"/>
      <c r="D49" s="37">
        <f>D50+D51</f>
        <v>8</v>
      </c>
      <c r="E49" s="37">
        <f>E50+E51</f>
        <v>8</v>
      </c>
      <c r="F49" s="37"/>
      <c r="G49" s="37">
        <f t="shared" ref="G49:M49" si="16">G50+G51</f>
        <v>146</v>
      </c>
      <c r="H49" s="37">
        <f t="shared" si="16"/>
        <v>146</v>
      </c>
      <c r="I49" s="37">
        <f t="shared" si="16"/>
        <v>154</v>
      </c>
      <c r="J49" s="37">
        <f t="shared" si="16"/>
        <v>592800</v>
      </c>
      <c r="K49" s="37">
        <f t="shared" si="16"/>
        <v>44800</v>
      </c>
      <c r="L49" s="37">
        <f t="shared" si="16"/>
        <v>0</v>
      </c>
      <c r="M49" s="219">
        <f t="shared" si="16"/>
        <v>637600</v>
      </c>
    </row>
    <row r="50" spans="1:13">
      <c r="A50" s="152"/>
      <c r="B50" s="155" t="s">
        <v>155</v>
      </c>
      <c r="C50" s="153"/>
      <c r="D50" s="153">
        <v>1</v>
      </c>
      <c r="E50" s="27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7"/>
      <c r="D51" s="27">
        <v>7</v>
      </c>
      <c r="E51" s="27">
        <f t="shared" si="14"/>
        <v>7</v>
      </c>
      <c r="F51" s="27"/>
      <c r="G51" s="153">
        <v>118</v>
      </c>
      <c r="H51" s="30">
        <f>G51</f>
        <v>118</v>
      </c>
      <c r="I51" s="30">
        <f>H51+E51</f>
        <v>125</v>
      </c>
      <c r="J51" s="30">
        <f>4000*I51</f>
        <v>500000</v>
      </c>
      <c r="K51" s="30"/>
      <c r="L51" s="46"/>
      <c r="M51" s="43">
        <f>J51+K51+(L51*15000)</f>
        <v>500000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1</v>
      </c>
      <c r="E54" s="37">
        <f>E55</f>
        <v>1</v>
      </c>
      <c r="F54" s="37">
        <f>F55</f>
        <v>0</v>
      </c>
      <c r="G54" s="37">
        <f>G55</f>
        <v>44</v>
      </c>
      <c r="H54" s="38">
        <f t="shared" si="17"/>
        <v>44</v>
      </c>
      <c r="I54" s="38">
        <f t="shared" si="17"/>
        <v>46</v>
      </c>
      <c r="J54" s="38">
        <f t="shared" si="17"/>
        <v>299000</v>
      </c>
      <c r="K54" s="38">
        <f t="shared" si="17"/>
        <v>140800</v>
      </c>
      <c r="L54" s="48">
        <f t="shared" si="17"/>
        <v>0</v>
      </c>
      <c r="M54" s="44">
        <f t="shared" si="17"/>
        <v>439800</v>
      </c>
    </row>
    <row r="55" spans="1:13">
      <c r="A55" s="14"/>
      <c r="B55" s="2" t="s">
        <v>210</v>
      </c>
      <c r="C55" s="29"/>
      <c r="D55" s="29">
        <v>1</v>
      </c>
      <c r="E55" s="29">
        <f>D55</f>
        <v>1</v>
      </c>
      <c r="F55" s="29"/>
      <c r="G55" s="29">
        <f>E55*44</f>
        <v>44</v>
      </c>
      <c r="H55" s="31">
        <f>G55</f>
        <v>44</v>
      </c>
      <c r="I55" s="31">
        <f>H55+E55*2</f>
        <v>46</v>
      </c>
      <c r="J55" s="30">
        <f>6500*I55</f>
        <v>299000</v>
      </c>
      <c r="K55" s="30">
        <f>3200*H55</f>
        <v>140800</v>
      </c>
      <c r="L55" s="49"/>
      <c r="M55" s="43">
        <f>J55+K55</f>
        <v>439800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1</v>
      </c>
      <c r="E56" s="81">
        <f t="shared" si="18"/>
        <v>1</v>
      </c>
      <c r="F56" s="81">
        <f t="shared" si="18"/>
        <v>0</v>
      </c>
      <c r="G56" s="81">
        <f t="shared" si="18"/>
        <v>38</v>
      </c>
      <c r="H56" s="170">
        <f t="shared" si="18"/>
        <v>38</v>
      </c>
      <c r="I56" s="170">
        <f t="shared" si="18"/>
        <v>40</v>
      </c>
      <c r="J56" s="170">
        <f t="shared" si="18"/>
        <v>260000</v>
      </c>
      <c r="K56" s="170">
        <f t="shared" si="18"/>
        <v>57000</v>
      </c>
      <c r="L56" s="81">
        <f>L57+L59</f>
        <v>0</v>
      </c>
      <c r="M56" s="217">
        <f>M57</f>
        <v>317000</v>
      </c>
    </row>
    <row r="57" spans="1:13">
      <c r="A57" s="14"/>
      <c r="B57" s="155" t="s">
        <v>93</v>
      </c>
      <c r="C57" s="29"/>
      <c r="D57" s="29">
        <v>1</v>
      </c>
      <c r="E57" s="29">
        <f>D56</f>
        <v>1</v>
      </c>
      <c r="F57" s="29"/>
      <c r="G57" s="29">
        <f>E57*38</f>
        <v>38</v>
      </c>
      <c r="H57" s="31">
        <f>G56</f>
        <v>38</v>
      </c>
      <c r="I57" s="31">
        <f>H57+E57*2</f>
        <v>40</v>
      </c>
      <c r="J57" s="79">
        <f>6500*I57</f>
        <v>260000</v>
      </c>
      <c r="K57" s="30">
        <f>1500*H57</f>
        <v>57000</v>
      </c>
      <c r="L57" s="49"/>
      <c r="M57" s="80">
        <f>J57+K57</f>
        <v>317000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1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/>
      <c r="M62" s="57">
        <f>43200*L62</f>
        <v>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>
        <v>1</v>
      </c>
      <c r="M63" s="57">
        <f>43200*L63</f>
        <v>43200</v>
      </c>
    </row>
    <row r="64" spans="1:13" ht="13.5" thickBot="1">
      <c r="A64" s="51"/>
      <c r="B64" s="42" t="s">
        <v>54</v>
      </c>
      <c r="C64" s="42">
        <f>C8+C13+C28+C33+C60</f>
        <v>33</v>
      </c>
      <c r="D64" s="42">
        <f>D8+D13+D20+D22+D24+D26+D28+D31+D33+D37+D39+D44+D47+D49+D52+D54+D56+D58</f>
        <v>269</v>
      </c>
      <c r="E64" s="42">
        <f>E8+E13+E20+E22+E24+E26+E28+E31+E33+E37+E39+E44+E47+E49+E52+E54+E56+E58+E60</f>
        <v>302</v>
      </c>
      <c r="F64" s="42">
        <f>F8+F13+F28+F33+F60</f>
        <v>612</v>
      </c>
      <c r="G64" s="42">
        <f>G8+G13+G20+G22+G24+G26+G28+G31+G33+G37+G39+G44+G47+G49+G52+G54+G56+G58</f>
        <v>4881</v>
      </c>
      <c r="H64" s="42">
        <f>H8+H13+H20+H22+H24+H26+H28+H31+H33+H37+H39+H44+H47+H49+H52+H54+H56+H58+H60</f>
        <v>5493</v>
      </c>
      <c r="I64" s="42">
        <f>I8+I13+I20+I22+I24+I26+I28+I31+I33+I37+I39+I44+I47+I49+I52+I54+I56+I58+I60</f>
        <v>5817</v>
      </c>
      <c r="J64" s="42">
        <f>J8+J13+J20+J22+J24+J26+J28+J31+J33+J37+J39+J44+J47+J49+J52+J54+J56+J58</f>
        <v>19792460</v>
      </c>
      <c r="K64" s="42">
        <f>K8+K13+K20+K22+K24+K26+K28+K31+K33+K37+K39+K44+K47+K49+K52+K54+K56+K58</f>
        <v>3306600</v>
      </c>
      <c r="L64" s="50"/>
      <c r="M64" s="42">
        <f>M8+M13+M20+M22+M24+M26+M28+M31+M33+M37+M39+M44+M47+M49+M52+M54+M56+M58+M60+M65+M66</f>
        <v>23232260</v>
      </c>
    </row>
    <row r="65" spans="2:13" ht="14.25" thickTop="1" thickBot="1">
      <c r="D65" s="337"/>
      <c r="E65" s="337"/>
      <c r="J65" s="115"/>
      <c r="K65" s="149" t="s">
        <v>96</v>
      </c>
      <c r="L65" s="147">
        <v>3</v>
      </c>
      <c r="M65" s="149">
        <f>20000*L65</f>
        <v>60000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16</v>
      </c>
      <c r="D67" s="340">
        <f>C67*25000</f>
        <v>400000</v>
      </c>
      <c r="E67" s="341"/>
      <c r="F67" s="131">
        <v>0</v>
      </c>
      <c r="G67" s="145">
        <v>16</v>
      </c>
      <c r="H67" s="119"/>
      <c r="K67" s="97" t="s">
        <v>32</v>
      </c>
      <c r="L67" s="4">
        <f>L65+L66</f>
        <v>5</v>
      </c>
    </row>
    <row r="68" spans="2:13" ht="13.5" thickBot="1">
      <c r="B68" s="120" t="s">
        <v>75</v>
      </c>
      <c r="C68" s="131">
        <f t="shared" ref="C68:C74" si="20">F68+G68</f>
        <v>12</v>
      </c>
      <c r="D68" s="342">
        <f>C68*30000</f>
        <v>360000</v>
      </c>
      <c r="E68" s="343"/>
      <c r="F68" s="122">
        <v>7</v>
      </c>
      <c r="G68" s="139">
        <v>5</v>
      </c>
      <c r="H68" s="135"/>
      <c r="I68" s="102"/>
      <c r="J68" s="102"/>
      <c r="L68" s="4"/>
    </row>
    <row r="69" spans="2:13">
      <c r="B69" s="120" t="s">
        <v>76</v>
      </c>
      <c r="C69" s="131">
        <f t="shared" si="20"/>
        <v>3</v>
      </c>
      <c r="D69" s="329">
        <f>C69*35000</f>
        <v>105000</v>
      </c>
      <c r="E69" s="330"/>
      <c r="F69" s="121">
        <v>0</v>
      </c>
      <c r="G69" s="138">
        <v>3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12</v>
      </c>
      <c r="D70" s="329">
        <f>C70*20000</f>
        <v>240000</v>
      </c>
      <c r="E70" s="330"/>
      <c r="F70" s="121">
        <v>5</v>
      </c>
      <c r="G70" s="138">
        <v>7</v>
      </c>
      <c r="H70" s="135"/>
      <c r="I70" s="97"/>
      <c r="K70" s="109" t="s">
        <v>132</v>
      </c>
      <c r="L70" s="163">
        <f>C77</f>
        <v>38</v>
      </c>
      <c r="M70" s="110">
        <f>D77</f>
        <v>1199080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109</v>
      </c>
      <c r="M71" s="112">
        <f>D78+D79</f>
        <v>1224000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44</v>
      </c>
      <c r="M72" s="114">
        <f>L72*20000</f>
        <v>880000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49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1</v>
      </c>
      <c r="D76" s="351">
        <f>42*2240</f>
        <v>94080</v>
      </c>
      <c r="E76" s="352"/>
      <c r="F76" s="128"/>
      <c r="G76" s="142">
        <v>1</v>
      </c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38</v>
      </c>
      <c r="D77" s="344">
        <f>SUM(D67:E76)</f>
        <v>1199080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27</v>
      </c>
      <c r="D78" s="346">
        <v>283000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82</v>
      </c>
      <c r="D79" s="348">
        <v>941000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M80"/>
  <sheetViews>
    <sheetView topLeftCell="A63" workbookViewId="0">
      <selection activeCell="K61" sqref="K61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1</v>
      </c>
      <c r="E8" s="34">
        <f>SUM(E9:E12)</f>
        <v>2</v>
      </c>
      <c r="F8" s="34">
        <f>F9</f>
        <v>24</v>
      </c>
      <c r="G8" s="34">
        <f>G10+G11+G12</f>
        <v>32</v>
      </c>
      <c r="H8" s="35">
        <f>SUM(H9:H12)</f>
        <v>56</v>
      </c>
      <c r="I8" s="35">
        <f>SUM(I9:I12)</f>
        <v>59</v>
      </c>
      <c r="J8" s="35">
        <f>SUM(J9:J12)</f>
        <v>216000</v>
      </c>
      <c r="K8" s="35">
        <f>SUM(K9:K12)</f>
        <v>38400</v>
      </c>
      <c r="L8" s="34">
        <f>L9+L10+L11+L12</f>
        <v>0</v>
      </c>
      <c r="M8" s="35">
        <f>SUM(M9:M12)</f>
        <v>254400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/>
      <c r="E10" s="235">
        <f>D10</f>
        <v>0</v>
      </c>
      <c r="F10" s="235"/>
      <c r="G10" s="235"/>
      <c r="H10" s="30">
        <f>G10</f>
        <v>0</v>
      </c>
      <c r="I10" s="30">
        <f>H10+E10</f>
        <v>0</v>
      </c>
      <c r="J10" s="30">
        <f>3200*I10</f>
        <v>0</v>
      </c>
      <c r="K10" s="30">
        <f t="shared" ref="K10:K19" si="0">1600*H10</f>
        <v>0</v>
      </c>
      <c r="L10" s="46"/>
      <c r="M10" s="43">
        <f>J10+K10</f>
        <v>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24</v>
      </c>
      <c r="D13" s="37">
        <f>D15+D16+D17+D18+D19</f>
        <v>27</v>
      </c>
      <c r="E13" s="37">
        <f>SUM(E14:E19)</f>
        <v>51</v>
      </c>
      <c r="F13" s="37">
        <f>F14</f>
        <v>360</v>
      </c>
      <c r="G13" s="37">
        <f>G15+G16+G17+G18+G19</f>
        <v>405</v>
      </c>
      <c r="H13" s="37">
        <f>SUM(H14:H19)</f>
        <v>765</v>
      </c>
      <c r="I13" s="37">
        <f>SUM(I14:I19)</f>
        <v>816</v>
      </c>
      <c r="J13" s="37">
        <f>SUM(J14:J19)</f>
        <v>2611200</v>
      </c>
      <c r="K13" s="37">
        <f>SUM(K14:K19)</f>
        <v>1224000</v>
      </c>
      <c r="L13" s="47">
        <f>L14+L15+L16+L17+L18+L19</f>
        <v>0</v>
      </c>
      <c r="M13" s="38">
        <f>SUM(M14:M19)</f>
        <v>3835200</v>
      </c>
    </row>
    <row r="14" spans="1:13">
      <c r="A14" s="12"/>
      <c r="B14" s="1" t="s">
        <v>3</v>
      </c>
      <c r="C14" s="235">
        <v>24</v>
      </c>
      <c r="D14" s="235"/>
      <c r="E14" s="235">
        <f>C14</f>
        <v>24</v>
      </c>
      <c r="F14" s="235">
        <f>C14*15</f>
        <v>360</v>
      </c>
      <c r="G14" s="235"/>
      <c r="H14" s="30">
        <f>F14</f>
        <v>360</v>
      </c>
      <c r="I14" s="30">
        <f t="shared" ref="I14:I19" si="1">H14+E14</f>
        <v>384</v>
      </c>
      <c r="J14" s="30">
        <f t="shared" ref="J14:J19" si="2">3200*I14</f>
        <v>1228800</v>
      </c>
      <c r="K14" s="30">
        <f t="shared" si="0"/>
        <v>576000</v>
      </c>
      <c r="L14" s="46"/>
      <c r="M14" s="43">
        <f t="shared" ref="M14:M19" si="3">J14+K14</f>
        <v>1804800</v>
      </c>
    </row>
    <row r="15" spans="1:13">
      <c r="A15" s="12"/>
      <c r="B15" s="1" t="s">
        <v>6</v>
      </c>
      <c r="C15" s="235"/>
      <c r="D15" s="235">
        <v>8</v>
      </c>
      <c r="E15" s="235">
        <f>D15</f>
        <v>8</v>
      </c>
      <c r="F15" s="235"/>
      <c r="G15" s="235">
        <f>D15*15</f>
        <v>120</v>
      </c>
      <c r="H15" s="30">
        <f>G15</f>
        <v>120</v>
      </c>
      <c r="I15" s="30">
        <f t="shared" si="1"/>
        <v>128</v>
      </c>
      <c r="J15" s="30">
        <f t="shared" si="2"/>
        <v>409600</v>
      </c>
      <c r="K15" s="30">
        <f t="shared" si="0"/>
        <v>192000</v>
      </c>
      <c r="L15" s="46"/>
      <c r="M15" s="43">
        <f t="shared" si="3"/>
        <v>601600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/>
      <c r="E17" s="235">
        <f>D17</f>
        <v>0</v>
      </c>
      <c r="F17" s="235"/>
      <c r="G17" s="235">
        <f>D17*15</f>
        <v>0</v>
      </c>
      <c r="H17" s="30">
        <f>G17</f>
        <v>0</v>
      </c>
      <c r="I17" s="30">
        <f t="shared" si="1"/>
        <v>0</v>
      </c>
      <c r="J17" s="30">
        <f t="shared" si="2"/>
        <v>0</v>
      </c>
      <c r="K17" s="30">
        <f t="shared" si="0"/>
        <v>0</v>
      </c>
      <c r="L17" s="46"/>
      <c r="M17" s="43">
        <f t="shared" si="3"/>
        <v>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91</v>
      </c>
      <c r="E20" s="37">
        <f>E21</f>
        <v>91</v>
      </c>
      <c r="F20" s="37"/>
      <c r="G20" s="37">
        <f t="shared" ref="G20:M20" si="4">G21</f>
        <v>1485</v>
      </c>
      <c r="H20" s="37">
        <f t="shared" si="4"/>
        <v>1485</v>
      </c>
      <c r="I20" s="37">
        <f t="shared" si="4"/>
        <v>1580</v>
      </c>
      <c r="J20" s="37">
        <f t="shared" si="4"/>
        <v>5056000</v>
      </c>
      <c r="K20" s="37">
        <f t="shared" si="4"/>
        <v>0</v>
      </c>
      <c r="L20" s="47">
        <f t="shared" si="4"/>
        <v>0</v>
      </c>
      <c r="M20" s="38">
        <f t="shared" si="4"/>
        <v>5056000</v>
      </c>
    </row>
    <row r="21" spans="1:13">
      <c r="A21" s="10"/>
      <c r="B21" s="24" t="s">
        <v>19</v>
      </c>
      <c r="C21" s="235"/>
      <c r="D21" s="235">
        <v>91</v>
      </c>
      <c r="E21" s="235">
        <f>D21</f>
        <v>91</v>
      </c>
      <c r="F21" s="235"/>
      <c r="G21" s="235">
        <v>1485</v>
      </c>
      <c r="H21" s="30">
        <f>G20</f>
        <v>1485</v>
      </c>
      <c r="I21" s="30">
        <v>1580</v>
      </c>
      <c r="J21" s="30">
        <f>3200*I21</f>
        <v>5056000</v>
      </c>
      <c r="K21" s="30"/>
      <c r="L21" s="46"/>
      <c r="M21" s="43">
        <f>J21+K21</f>
        <v>5056000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26</v>
      </c>
      <c r="H24" s="38">
        <f t="shared" si="6"/>
        <v>26</v>
      </c>
      <c r="I24" s="38">
        <f t="shared" si="6"/>
        <v>27</v>
      </c>
      <c r="J24" s="38">
        <f t="shared" si="6"/>
        <v>86400</v>
      </c>
      <c r="K24" s="38">
        <f t="shared" si="6"/>
        <v>41600</v>
      </c>
      <c r="L24" s="48">
        <f t="shared" si="6"/>
        <v>0</v>
      </c>
      <c r="M24" s="216">
        <f t="shared" si="6"/>
        <v>128000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26</v>
      </c>
      <c r="H25" s="30">
        <f>G25</f>
        <v>26</v>
      </c>
      <c r="I25" s="30">
        <f>H25+E25</f>
        <v>27</v>
      </c>
      <c r="J25" s="30">
        <f>3200*I25</f>
        <v>86400</v>
      </c>
      <c r="K25" s="30">
        <f>1600*H25</f>
        <v>41600</v>
      </c>
      <c r="L25" s="46"/>
      <c r="M25" s="43">
        <f>J25+K25</f>
        <v>128000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5</v>
      </c>
      <c r="E28" s="37">
        <f>E29+E30</f>
        <v>8</v>
      </c>
      <c r="F28" s="37">
        <f>F29</f>
        <v>76</v>
      </c>
      <c r="G28" s="37">
        <f>G30</f>
        <v>111</v>
      </c>
      <c r="H28" s="38">
        <f t="shared" ref="H28:M28" si="8">H29+H30</f>
        <v>187</v>
      </c>
      <c r="I28" s="38">
        <f t="shared" si="8"/>
        <v>195</v>
      </c>
      <c r="J28" s="38">
        <f t="shared" si="8"/>
        <v>624000</v>
      </c>
      <c r="K28" s="38">
        <f t="shared" si="8"/>
        <v>299200</v>
      </c>
      <c r="L28" s="48">
        <f t="shared" si="8"/>
        <v>0</v>
      </c>
      <c r="M28" s="216">
        <f t="shared" si="8"/>
        <v>966400</v>
      </c>
    </row>
    <row r="29" spans="1:13">
      <c r="A29" s="12"/>
      <c r="B29" s="1" t="s">
        <v>3</v>
      </c>
      <c r="C29" s="235">
        <v>3</v>
      </c>
      <c r="D29" s="235"/>
      <c r="E29" s="235">
        <f>C29</f>
        <v>3</v>
      </c>
      <c r="F29" s="235">
        <v>76</v>
      </c>
      <c r="G29" s="235"/>
      <c r="H29" s="30">
        <f>F29</f>
        <v>76</v>
      </c>
      <c r="I29" s="30">
        <f>H29+E29</f>
        <v>79</v>
      </c>
      <c r="J29" s="30">
        <f>3200*I29</f>
        <v>252800</v>
      </c>
      <c r="K29" s="30">
        <f>1600*H29</f>
        <v>121600</v>
      </c>
      <c r="L29" s="46"/>
      <c r="M29" s="43">
        <f>J29+K29</f>
        <v>374400</v>
      </c>
    </row>
    <row r="30" spans="1:13">
      <c r="A30" s="12"/>
      <c r="B30" s="1" t="s">
        <v>11</v>
      </c>
      <c r="C30" s="235"/>
      <c r="D30" s="235">
        <v>5</v>
      </c>
      <c r="E30" s="235">
        <f>D30</f>
        <v>5</v>
      </c>
      <c r="F30" s="235"/>
      <c r="G30" s="30">
        <v>111</v>
      </c>
      <c r="H30" s="30">
        <f>G30</f>
        <v>111</v>
      </c>
      <c r="I30" s="30">
        <f>H30+E30</f>
        <v>116</v>
      </c>
      <c r="J30" s="30">
        <f>3200*I30</f>
        <v>371200</v>
      </c>
      <c r="K30" s="30">
        <f>1600*H30</f>
        <v>177600</v>
      </c>
      <c r="L30" s="46"/>
      <c r="M30" s="43">
        <f>J30+K30+M62</f>
        <v>592000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25</v>
      </c>
      <c r="E31" s="37">
        <f t="shared" si="9"/>
        <v>25</v>
      </c>
      <c r="F31" s="37">
        <f t="shared" si="9"/>
        <v>0</v>
      </c>
      <c r="G31" s="37">
        <f t="shared" si="9"/>
        <v>375</v>
      </c>
      <c r="H31" s="37">
        <f t="shared" si="9"/>
        <v>375</v>
      </c>
      <c r="I31" s="37">
        <f t="shared" si="9"/>
        <v>400</v>
      </c>
      <c r="J31" s="37">
        <f t="shared" si="9"/>
        <v>1280000</v>
      </c>
      <c r="K31" s="37">
        <f t="shared" si="9"/>
        <v>0</v>
      </c>
      <c r="L31" s="37">
        <f t="shared" si="9"/>
        <v>0</v>
      </c>
      <c r="M31" s="38">
        <f t="shared" si="9"/>
        <v>1280000</v>
      </c>
    </row>
    <row r="32" spans="1:13">
      <c r="A32" s="10"/>
      <c r="B32" s="24" t="s">
        <v>19</v>
      </c>
      <c r="C32" s="235"/>
      <c r="D32" s="235">
        <v>25</v>
      </c>
      <c r="E32" s="235">
        <f>D32</f>
        <v>25</v>
      </c>
      <c r="F32" s="235"/>
      <c r="G32" s="235">
        <f>E32*15</f>
        <v>375</v>
      </c>
      <c r="H32" s="30">
        <f>G32</f>
        <v>375</v>
      </c>
      <c r="I32" s="30">
        <f>H32+E32</f>
        <v>400</v>
      </c>
      <c r="J32" s="30">
        <f>3200*I32</f>
        <v>1280000</v>
      </c>
      <c r="K32" s="30"/>
      <c r="L32" s="46"/>
      <c r="M32" s="43">
        <f>J32+K32</f>
        <v>1280000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8</v>
      </c>
      <c r="E33" s="37">
        <f>E34+E35+E36</f>
        <v>14</v>
      </c>
      <c r="F33" s="37">
        <f>F34</f>
        <v>151</v>
      </c>
      <c r="G33" s="37">
        <f>G35+G36</f>
        <v>223</v>
      </c>
      <c r="H33" s="38">
        <f t="shared" ref="H33:M33" si="10">H34+H35+H36</f>
        <v>374</v>
      </c>
      <c r="I33" s="38">
        <f t="shared" si="10"/>
        <v>389</v>
      </c>
      <c r="J33" s="35">
        <f t="shared" si="10"/>
        <v>1296000</v>
      </c>
      <c r="K33" s="35">
        <f t="shared" si="10"/>
        <v>500800</v>
      </c>
      <c r="L33" s="47">
        <f t="shared" si="10"/>
        <v>0</v>
      </c>
      <c r="M33" s="216">
        <f t="shared" si="10"/>
        <v>1796800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151</v>
      </c>
      <c r="G34" s="235"/>
      <c r="H34" s="30">
        <f>F34</f>
        <v>151</v>
      </c>
      <c r="I34" s="30">
        <f>H34+E34</f>
        <v>157</v>
      </c>
      <c r="J34" s="30">
        <f>3200*I34</f>
        <v>502400</v>
      </c>
      <c r="K34" s="30">
        <f>1600*H34</f>
        <v>241600</v>
      </c>
      <c r="L34" s="46"/>
      <c r="M34" s="43">
        <f>J34+K34</f>
        <v>744000</v>
      </c>
    </row>
    <row r="35" spans="1:13">
      <c r="A35" s="13"/>
      <c r="B35" s="1" t="s">
        <v>12</v>
      </c>
      <c r="C35" s="235"/>
      <c r="D35" s="235">
        <v>6</v>
      </c>
      <c r="E35" s="235">
        <f>D35</f>
        <v>6</v>
      </c>
      <c r="F35" s="235"/>
      <c r="G35" s="235">
        <v>162</v>
      </c>
      <c r="H35" s="30">
        <f>G35</f>
        <v>162</v>
      </c>
      <c r="I35" s="30">
        <f>H35+E35</f>
        <v>168</v>
      </c>
      <c r="J35" s="30">
        <f>3200*I35</f>
        <v>537600</v>
      </c>
      <c r="K35" s="30">
        <f>1600*H35</f>
        <v>259200</v>
      </c>
      <c r="L35" s="46"/>
      <c r="M35" s="43">
        <f>J35+K35+M63</f>
        <v>796800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24</v>
      </c>
      <c r="E37" s="37">
        <f>E38</f>
        <v>24</v>
      </c>
      <c r="F37" s="37"/>
      <c r="G37" s="37">
        <f t="shared" ref="G37:M37" si="11">G38</f>
        <v>360</v>
      </c>
      <c r="H37" s="38">
        <f t="shared" si="11"/>
        <v>360</v>
      </c>
      <c r="I37" s="38">
        <f t="shared" si="11"/>
        <v>384</v>
      </c>
      <c r="J37" s="38">
        <f t="shared" si="11"/>
        <v>1536000</v>
      </c>
      <c r="K37" s="38">
        <f t="shared" si="11"/>
        <v>0</v>
      </c>
      <c r="L37" s="48">
        <f t="shared" si="11"/>
        <v>0</v>
      </c>
      <c r="M37" s="216">
        <f t="shared" si="11"/>
        <v>1536000</v>
      </c>
    </row>
    <row r="38" spans="1:13">
      <c r="A38" s="13"/>
      <c r="B38" s="96" t="s">
        <v>128</v>
      </c>
      <c r="C38" s="235"/>
      <c r="D38" s="235">
        <v>24</v>
      </c>
      <c r="E38" s="235">
        <f>D38</f>
        <v>24</v>
      </c>
      <c r="F38" s="235"/>
      <c r="G38" s="235">
        <f>E38*15</f>
        <v>360</v>
      </c>
      <c r="H38" s="30">
        <f>G38</f>
        <v>360</v>
      </c>
      <c r="I38" s="30">
        <f>H38+E38</f>
        <v>384</v>
      </c>
      <c r="J38" s="30">
        <f>4000*I38</f>
        <v>1536000</v>
      </c>
      <c r="K38" s="30"/>
      <c r="L38" s="46"/>
      <c r="M38" s="43">
        <f>J38+K38</f>
        <v>1536000</v>
      </c>
    </row>
    <row r="39" spans="1:13">
      <c r="A39" s="36">
        <v>11</v>
      </c>
      <c r="B39" s="33" t="s">
        <v>44</v>
      </c>
      <c r="C39" s="37"/>
      <c r="D39" s="37">
        <f>D40+D41+D42+D43</f>
        <v>1</v>
      </c>
      <c r="E39" s="37">
        <f>E40+E41+E42+E43</f>
        <v>1</v>
      </c>
      <c r="F39" s="37"/>
      <c r="G39" s="37">
        <f t="shared" ref="G39:M39" si="12">G40+G41+G42+G43</f>
        <v>44</v>
      </c>
      <c r="H39" s="38">
        <f t="shared" si="12"/>
        <v>44</v>
      </c>
      <c r="I39" s="38">
        <f t="shared" si="12"/>
        <v>46</v>
      </c>
      <c r="J39" s="45">
        <f t="shared" si="12"/>
        <v>197800</v>
      </c>
      <c r="K39" s="45">
        <f t="shared" si="12"/>
        <v>66000</v>
      </c>
      <c r="L39" s="47">
        <f t="shared" si="12"/>
        <v>0</v>
      </c>
      <c r="M39" s="216">
        <f t="shared" si="12"/>
        <v>263800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/>
      <c r="E43" s="235">
        <f>D43</f>
        <v>0</v>
      </c>
      <c r="F43" s="235"/>
      <c r="G43" s="235">
        <f>E43*38</f>
        <v>0</v>
      </c>
      <c r="H43" s="30">
        <f>G43</f>
        <v>0</v>
      </c>
      <c r="I43" s="30">
        <f>H43+E43*2</f>
        <v>0</v>
      </c>
      <c r="J43" s="30">
        <f>5590*I43</f>
        <v>0</v>
      </c>
      <c r="K43" s="30">
        <f>3200*H43</f>
        <v>0</v>
      </c>
      <c r="L43" s="46"/>
      <c r="M43" s="43">
        <f>J43+K43</f>
        <v>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2</v>
      </c>
      <c r="E47" s="37">
        <f t="shared" si="14"/>
        <v>2</v>
      </c>
      <c r="F47" s="37"/>
      <c r="G47" s="37">
        <f t="shared" ref="G47:M47" si="15">G48</f>
        <v>56</v>
      </c>
      <c r="H47" s="38">
        <f t="shared" si="15"/>
        <v>56</v>
      </c>
      <c r="I47" s="38">
        <f t="shared" si="15"/>
        <v>58</v>
      </c>
      <c r="J47" s="38">
        <f t="shared" si="15"/>
        <v>249400</v>
      </c>
      <c r="K47" s="38">
        <f t="shared" si="15"/>
        <v>140000</v>
      </c>
      <c r="L47" s="48">
        <f t="shared" si="15"/>
        <v>0</v>
      </c>
      <c r="M47" s="216">
        <f t="shared" si="15"/>
        <v>389400</v>
      </c>
    </row>
    <row r="48" spans="1:13">
      <c r="A48" s="19"/>
      <c r="B48" s="26" t="s">
        <v>17</v>
      </c>
      <c r="C48" s="235"/>
      <c r="D48" s="235">
        <v>2</v>
      </c>
      <c r="E48" s="235">
        <f t="shared" si="14"/>
        <v>2</v>
      </c>
      <c r="F48" s="235"/>
      <c r="G48" s="235">
        <f>D48*28</f>
        <v>56</v>
      </c>
      <c r="H48" s="30">
        <f>G48</f>
        <v>56</v>
      </c>
      <c r="I48" s="30">
        <f>H48+E48</f>
        <v>58</v>
      </c>
      <c r="J48" s="30">
        <f>4300*I48</f>
        <v>249400</v>
      </c>
      <c r="K48" s="30">
        <f>2500*H48</f>
        <v>140000</v>
      </c>
      <c r="L48" s="46"/>
      <c r="M48" s="43">
        <f>J48+K48</f>
        <v>389400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101</v>
      </c>
      <c r="H49" s="37">
        <f t="shared" si="16"/>
        <v>101</v>
      </c>
      <c r="I49" s="37">
        <f t="shared" si="16"/>
        <v>106</v>
      </c>
      <c r="J49" s="37">
        <f t="shared" si="16"/>
        <v>400800</v>
      </c>
      <c r="K49" s="37">
        <f t="shared" si="16"/>
        <v>44800</v>
      </c>
      <c r="L49" s="37">
        <f t="shared" si="16"/>
        <v>0</v>
      </c>
      <c r="M49" s="219">
        <f t="shared" si="16"/>
        <v>445600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v>28</v>
      </c>
      <c r="H50" s="30">
        <f>G50</f>
        <v>28</v>
      </c>
      <c r="I50" s="30">
        <f>H50+E50</f>
        <v>29</v>
      </c>
      <c r="J50" s="30">
        <f>3200*I50</f>
        <v>92800</v>
      </c>
      <c r="K50" s="30">
        <f>1600*H50</f>
        <v>44800</v>
      </c>
      <c r="L50" s="154"/>
      <c r="M50" s="43">
        <f>J50+K50+(L50*15000)</f>
        <v>137600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0</v>
      </c>
      <c r="E52" s="37">
        <f t="shared" si="17"/>
        <v>0</v>
      </c>
      <c r="F52" s="37">
        <f t="shared" si="17"/>
        <v>0</v>
      </c>
      <c r="G52" s="37">
        <f t="shared" si="17"/>
        <v>0</v>
      </c>
      <c r="H52" s="37">
        <f t="shared" si="17"/>
        <v>0</v>
      </c>
      <c r="I52" s="38">
        <f t="shared" si="17"/>
        <v>0</v>
      </c>
      <c r="J52" s="38">
        <f t="shared" si="17"/>
        <v>0</v>
      </c>
      <c r="K52" s="38">
        <f t="shared" si="17"/>
        <v>0</v>
      </c>
      <c r="L52" s="48">
        <f t="shared" si="17"/>
        <v>0</v>
      </c>
      <c r="M52" s="44">
        <f t="shared" si="17"/>
        <v>0</v>
      </c>
    </row>
    <row r="53" spans="1:13">
      <c r="A53" s="14"/>
      <c r="B53" s="96" t="s">
        <v>215</v>
      </c>
      <c r="C53" s="29"/>
      <c r="D53" s="29"/>
      <c r="E53" s="29">
        <f>D53</f>
        <v>0</v>
      </c>
      <c r="F53" s="29"/>
      <c r="G53" s="29"/>
      <c r="H53" s="31">
        <f>G53</f>
        <v>0</v>
      </c>
      <c r="I53" s="31">
        <f>H53+E53*2</f>
        <v>0</v>
      </c>
      <c r="J53" s="30">
        <f>5590*I53</f>
        <v>0</v>
      </c>
      <c r="K53" s="30">
        <f>3200*H53</f>
        <v>0</v>
      </c>
      <c r="L53" s="49"/>
      <c r="M53" s="43">
        <f>J53+K53</f>
        <v>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0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0</v>
      </c>
      <c r="D60" s="209">
        <f t="shared" si="19"/>
        <v>0</v>
      </c>
      <c r="E60" s="209">
        <f t="shared" si="19"/>
        <v>0</v>
      </c>
      <c r="F60" s="209">
        <f t="shared" si="19"/>
        <v>0</v>
      </c>
      <c r="G60" s="209">
        <f t="shared" si="19"/>
        <v>0</v>
      </c>
      <c r="H60" s="210">
        <f t="shared" si="19"/>
        <v>0</v>
      </c>
      <c r="I60" s="210">
        <f t="shared" si="19"/>
        <v>0</v>
      </c>
      <c r="J60" s="210">
        <f t="shared" si="19"/>
        <v>0</v>
      </c>
      <c r="K60" s="210">
        <f t="shared" si="19"/>
        <v>0</v>
      </c>
      <c r="L60" s="209"/>
      <c r="M60" s="218">
        <f>M61</f>
        <v>0</v>
      </c>
    </row>
    <row r="61" spans="1:13">
      <c r="A61" s="14"/>
      <c r="B61" s="205" t="s">
        <v>213</v>
      </c>
      <c r="C61" s="207"/>
      <c r="D61" s="207"/>
      <c r="E61" s="207">
        <f>C61</f>
        <v>0</v>
      </c>
      <c r="F61" s="207"/>
      <c r="G61" s="207"/>
      <c r="H61" s="208">
        <f>F61</f>
        <v>0</v>
      </c>
      <c r="I61" s="208">
        <f>H61+E61*2</f>
        <v>0</v>
      </c>
      <c r="J61" s="30">
        <f>6500*I61</f>
        <v>0</v>
      </c>
      <c r="K61" s="30">
        <f>3200*H61</f>
        <v>0</v>
      </c>
      <c r="L61" s="49"/>
      <c r="M61" s="43">
        <f>J61+K61</f>
        <v>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34</v>
      </c>
      <c r="D64" s="42">
        <f>D8+D13+D20+D22+D24+D26+D28+D31+D33+D37+D39+D44+D47+D49+D52+D54+D56+D58</f>
        <v>195</v>
      </c>
      <c r="E64" s="42">
        <f>E8+E13+E20+E22+E24+E26+E28+E31+E33+E37+E39+E44+E47+E49+E52+E54+E56+E58+E60</f>
        <v>229</v>
      </c>
      <c r="F64" s="42">
        <f>F8+F13+F28+F33+F60</f>
        <v>611</v>
      </c>
      <c r="G64" s="42">
        <f>G8+G13+G20+G22+G24+G26+G28+G31+G33+G37+G39+G44+G47+G49+G52+G54+G56+G58</f>
        <v>3398</v>
      </c>
      <c r="H64" s="42">
        <f>H8+H13+H20+H22+H24+H26+H28+H31+H33+H37+H39+H44+H47+H49+H52+H54+H56+H58+H60</f>
        <v>4009</v>
      </c>
      <c r="I64" s="42">
        <f>I8+I13+I20+I22+I24+I26+I28+I31+I33+I37+I39+I44+I47+I49+I52+I54+I56+I58+I60</f>
        <v>4249</v>
      </c>
      <c r="J64" s="42">
        <f>J8+J13+J20+J22+J24+J26+J28+J31+J33+J37+J39+J44+J47+J49+J52+J54+J56+J58</f>
        <v>14409760</v>
      </c>
      <c r="K64" s="42">
        <f>K8+K13+K20+K22+K24+K26+K28+K31+K33+K37+K39+K44+K47+K49+K52+K54+K56+K58</f>
        <v>2674400</v>
      </c>
      <c r="L64" s="50"/>
      <c r="M64" s="42">
        <f>M8+M13+M20+M22+M24+M26+M28+M31+M33+M37+M39+M44+M47+M49+M52+M54+M56+M58+M60+M65+M66</f>
        <v>17202360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5</v>
      </c>
      <c r="M66" s="150">
        <f>15000*L66</f>
        <v>75000</v>
      </c>
    </row>
    <row r="67" spans="2:13">
      <c r="B67" s="144" t="s">
        <v>74</v>
      </c>
      <c r="C67" s="131">
        <f>F67+G67</f>
        <v>16</v>
      </c>
      <c r="D67" s="340">
        <f>C67*25000</f>
        <v>400000</v>
      </c>
      <c r="E67" s="341"/>
      <c r="F67" s="131"/>
      <c r="G67" s="145">
        <v>16</v>
      </c>
      <c r="H67" s="119"/>
      <c r="K67" s="97" t="s">
        <v>32</v>
      </c>
      <c r="L67" s="234">
        <f>L65+L66</f>
        <v>5</v>
      </c>
    </row>
    <row r="68" spans="2:13" ht="13.5" thickBot="1">
      <c r="B68" s="120" t="s">
        <v>75</v>
      </c>
      <c r="C68" s="131">
        <f t="shared" ref="C68:C74" si="20">F68+G68</f>
        <v>16</v>
      </c>
      <c r="D68" s="342">
        <f>C68*30000</f>
        <v>480000</v>
      </c>
      <c r="E68" s="343"/>
      <c r="F68" s="122">
        <v>9</v>
      </c>
      <c r="G68" s="139">
        <v>7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18</v>
      </c>
      <c r="D69" s="329">
        <f>C69*35000</f>
        <v>630000</v>
      </c>
      <c r="E69" s="330"/>
      <c r="F69" s="121"/>
      <c r="G69" s="138">
        <v>18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16</v>
      </c>
      <c r="D70" s="329">
        <f>C70*20000</f>
        <v>320000</v>
      </c>
      <c r="E70" s="330"/>
      <c r="F70" s="121">
        <v>10</v>
      </c>
      <c r="G70" s="138">
        <v>6</v>
      </c>
      <c r="H70" s="135"/>
      <c r="I70" s="97"/>
      <c r="K70" s="109" t="s">
        <v>132</v>
      </c>
      <c r="L70" s="163">
        <f>C77</f>
        <v>58</v>
      </c>
      <c r="M70" s="110">
        <f>D77</f>
        <v>1830000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144</v>
      </c>
      <c r="M71" s="112">
        <f>D78+D79</f>
        <v>1774000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49</v>
      </c>
      <c r="M72" s="114">
        <f>L72*20000</f>
        <v>980000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54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0</v>
      </c>
      <c r="D75" s="329"/>
      <c r="E75" s="330"/>
      <c r="F75" s="121"/>
      <c r="G75" s="138"/>
      <c r="H75" s="173"/>
      <c r="M75" s="32"/>
    </row>
    <row r="76" spans="2:13" ht="13.5" thickBot="1">
      <c r="B76" s="166" t="s">
        <v>160</v>
      </c>
      <c r="C76" s="167">
        <f>G76</f>
        <v>0</v>
      </c>
      <c r="D76" s="351"/>
      <c r="E76" s="352"/>
      <c r="F76" s="128"/>
      <c r="G76" s="142"/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58</v>
      </c>
      <c r="D77" s="344">
        <f>SUM(D67:E76)</f>
        <v>1830000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48</v>
      </c>
      <c r="D78" s="346">
        <v>625000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96</v>
      </c>
      <c r="D79" s="348">
        <v>1149000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M80"/>
  <sheetViews>
    <sheetView topLeftCell="A58" workbookViewId="0">
      <selection activeCell="D80" sqref="D80"/>
    </sheetView>
  </sheetViews>
  <sheetFormatPr defaultRowHeight="12.75"/>
  <cols>
    <col min="1" max="1" width="4.28515625" customWidth="1"/>
    <col min="2" max="2" width="34.42578125" customWidth="1"/>
    <col min="3" max="3" width="6.140625" customWidth="1"/>
    <col min="4" max="4" width="4.7109375" customWidth="1"/>
    <col min="5" max="5" width="7.7109375" customWidth="1"/>
    <col min="6" max="7" width="5.7109375" customWidth="1"/>
    <col min="8" max="9" width="7.7109375" customWidth="1"/>
    <col min="10" max="11" width="10.7109375" customWidth="1"/>
    <col min="12" max="12" width="6.140625" customWidth="1"/>
    <col min="13" max="13" width="25.140625" customWidth="1"/>
  </cols>
  <sheetData>
    <row r="1" spans="1:13">
      <c r="A1" s="326" t="s">
        <v>66</v>
      </c>
      <c r="B1" s="326"/>
      <c r="C1" s="326"/>
      <c r="D1" s="327" t="s">
        <v>67</v>
      </c>
      <c r="E1" s="327"/>
      <c r="F1" s="327"/>
      <c r="G1" s="327"/>
      <c r="H1" s="327"/>
      <c r="I1" s="327"/>
      <c r="J1" s="327"/>
      <c r="K1" s="327"/>
      <c r="L1" s="327"/>
      <c r="M1" s="327"/>
    </row>
    <row r="2" spans="1:13">
      <c r="A2" s="327" t="s">
        <v>68</v>
      </c>
      <c r="B2" s="327"/>
      <c r="C2" s="327"/>
      <c r="D2" s="328" t="s">
        <v>69</v>
      </c>
      <c r="E2" s="328"/>
      <c r="F2" s="328"/>
      <c r="G2" s="328"/>
      <c r="H2" s="328"/>
      <c r="I2" s="328"/>
      <c r="J2" s="328"/>
      <c r="K2" s="328"/>
      <c r="L2" s="328"/>
      <c r="M2" s="328"/>
    </row>
    <row r="3" spans="1:13">
      <c r="A3" s="297" t="s">
        <v>70</v>
      </c>
      <c r="B3" s="297"/>
      <c r="C3" s="297"/>
    </row>
    <row r="4" spans="1:13" ht="20.25">
      <c r="A4" s="325" t="s">
        <v>71</v>
      </c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</row>
    <row r="5" spans="1:13" ht="13.5" thickBot="1">
      <c r="A5" s="331" t="s">
        <v>166</v>
      </c>
      <c r="B5" s="331"/>
      <c r="C5" s="331"/>
      <c r="D5" s="331"/>
      <c r="E5" s="331"/>
      <c r="F5" s="331"/>
      <c r="G5" s="331"/>
      <c r="H5" s="331"/>
      <c r="I5" s="331"/>
      <c r="J5" s="331"/>
      <c r="K5" s="331"/>
      <c r="L5" s="331"/>
      <c r="M5" s="331"/>
    </row>
    <row r="6" spans="1:13" ht="13.5" customHeight="1" thickTop="1">
      <c r="A6" s="5" t="s">
        <v>0</v>
      </c>
      <c r="B6" s="20" t="s">
        <v>1</v>
      </c>
      <c r="C6" s="332" t="s">
        <v>31</v>
      </c>
      <c r="D6" s="332"/>
      <c r="E6" s="332"/>
      <c r="F6" s="332" t="s">
        <v>33</v>
      </c>
      <c r="G6" s="332"/>
      <c r="H6" s="332"/>
      <c r="I6" s="332"/>
      <c r="J6" s="333" t="s">
        <v>41</v>
      </c>
      <c r="K6" s="333" t="s">
        <v>42</v>
      </c>
      <c r="L6" s="333" t="s">
        <v>43</v>
      </c>
      <c r="M6" s="335" t="s">
        <v>45</v>
      </c>
    </row>
    <row r="7" spans="1:13">
      <c r="A7" s="6" t="s">
        <v>2</v>
      </c>
      <c r="B7" s="21" t="s">
        <v>38</v>
      </c>
      <c r="C7" s="235" t="s">
        <v>35</v>
      </c>
      <c r="D7" s="235" t="s">
        <v>36</v>
      </c>
      <c r="E7" s="235" t="s">
        <v>32</v>
      </c>
      <c r="F7" s="235" t="s">
        <v>34</v>
      </c>
      <c r="G7" s="235" t="s">
        <v>37</v>
      </c>
      <c r="H7" s="28" t="s">
        <v>39</v>
      </c>
      <c r="I7" s="235" t="s">
        <v>40</v>
      </c>
      <c r="J7" s="334"/>
      <c r="K7" s="334"/>
      <c r="L7" s="334"/>
      <c r="M7" s="336"/>
    </row>
    <row r="8" spans="1:13">
      <c r="A8" s="36">
        <v>1</v>
      </c>
      <c r="B8" s="33" t="s">
        <v>20</v>
      </c>
      <c r="C8" s="34">
        <f>C9</f>
        <v>1</v>
      </c>
      <c r="D8" s="34">
        <f>D10+D11+D12</f>
        <v>4</v>
      </c>
      <c r="E8" s="34">
        <f>SUM(E9:E12)</f>
        <v>5</v>
      </c>
      <c r="F8" s="34">
        <f>F9</f>
        <v>24</v>
      </c>
      <c r="G8" s="34">
        <f>G10+G11+G12</f>
        <v>112</v>
      </c>
      <c r="H8" s="35">
        <f>SUM(H9:H12)</f>
        <v>136</v>
      </c>
      <c r="I8" s="35">
        <f>SUM(I9:I12)</f>
        <v>142</v>
      </c>
      <c r="J8" s="35">
        <f>SUM(J9:J12)</f>
        <v>481600</v>
      </c>
      <c r="K8" s="35">
        <f>SUM(K9:K12)</f>
        <v>166400</v>
      </c>
      <c r="L8" s="34">
        <f>L9+L10+L11+L12</f>
        <v>0</v>
      </c>
      <c r="M8" s="35">
        <f>SUM(M9:M12)</f>
        <v>648000</v>
      </c>
    </row>
    <row r="9" spans="1:13">
      <c r="A9" s="8"/>
      <c r="B9" s="1" t="s">
        <v>3</v>
      </c>
      <c r="C9" s="235">
        <v>1</v>
      </c>
      <c r="D9" s="235"/>
      <c r="E9" s="235">
        <f>C9</f>
        <v>1</v>
      </c>
      <c r="F9" s="235">
        <f>E9*24</f>
        <v>24</v>
      </c>
      <c r="G9" s="235"/>
      <c r="H9" s="30">
        <f>F9</f>
        <v>24</v>
      </c>
      <c r="I9" s="30">
        <f>H9+E9</f>
        <v>25</v>
      </c>
      <c r="J9" s="30">
        <f>3200*I9</f>
        <v>80000</v>
      </c>
      <c r="K9" s="30">
        <f>1600*H9</f>
        <v>38400</v>
      </c>
      <c r="L9" s="46"/>
      <c r="M9" s="43">
        <f>J9+K9</f>
        <v>118400</v>
      </c>
    </row>
    <row r="10" spans="1:13">
      <c r="A10" s="9"/>
      <c r="B10" s="1" t="s">
        <v>6</v>
      </c>
      <c r="C10" s="235"/>
      <c r="D10" s="235">
        <v>3</v>
      </c>
      <c r="E10" s="235">
        <f>D10</f>
        <v>3</v>
      </c>
      <c r="F10" s="235"/>
      <c r="G10" s="235">
        <v>80</v>
      </c>
      <c r="H10" s="30">
        <f>G10</f>
        <v>80</v>
      </c>
      <c r="I10" s="30">
        <f>H10+E10</f>
        <v>83</v>
      </c>
      <c r="J10" s="30">
        <f>3200*I10</f>
        <v>265600</v>
      </c>
      <c r="K10" s="30">
        <f t="shared" ref="K10:K19" si="0">1600*H10</f>
        <v>128000</v>
      </c>
      <c r="L10" s="46"/>
      <c r="M10" s="43">
        <f>J10+K10</f>
        <v>393600</v>
      </c>
    </row>
    <row r="11" spans="1:13">
      <c r="A11" s="10"/>
      <c r="B11" s="1" t="s">
        <v>5</v>
      </c>
      <c r="C11" s="235"/>
      <c r="D11" s="235"/>
      <c r="E11" s="235">
        <f>D11</f>
        <v>0</v>
      </c>
      <c r="F11" s="235"/>
      <c r="G11" s="235"/>
      <c r="H11" s="30">
        <f>G11</f>
        <v>0</v>
      </c>
      <c r="I11" s="30">
        <f>H11+E11</f>
        <v>0</v>
      </c>
      <c r="J11" s="30">
        <f>3200*I11</f>
        <v>0</v>
      </c>
      <c r="K11" s="30">
        <f t="shared" si="0"/>
        <v>0</v>
      </c>
      <c r="L11" s="46"/>
      <c r="M11" s="43">
        <f>J11+K11</f>
        <v>0</v>
      </c>
    </row>
    <row r="12" spans="1:13">
      <c r="A12" s="11"/>
      <c r="B12" s="22" t="s">
        <v>125</v>
      </c>
      <c r="C12" s="235"/>
      <c r="D12" s="235">
        <v>1</v>
      </c>
      <c r="E12" s="235">
        <f>D12</f>
        <v>1</v>
      </c>
      <c r="F12" s="235"/>
      <c r="G12" s="235">
        <f>E12*32</f>
        <v>32</v>
      </c>
      <c r="H12" s="30">
        <f>G12</f>
        <v>32</v>
      </c>
      <c r="I12" s="30">
        <f>H12+E12*2</f>
        <v>34</v>
      </c>
      <c r="J12" s="30">
        <f>4000*I12</f>
        <v>136000</v>
      </c>
      <c r="K12" s="30"/>
      <c r="L12" s="46"/>
      <c r="M12" s="43">
        <f>J12+K12</f>
        <v>136000</v>
      </c>
    </row>
    <row r="13" spans="1:13">
      <c r="A13" s="36">
        <v>2</v>
      </c>
      <c r="B13" s="33" t="s">
        <v>21</v>
      </c>
      <c r="C13" s="37">
        <f>C14</f>
        <v>26</v>
      </c>
      <c r="D13" s="37">
        <f>D15+D16+D17+D18+D19</f>
        <v>30</v>
      </c>
      <c r="E13" s="37">
        <f>SUM(E14:E19)</f>
        <v>56</v>
      </c>
      <c r="F13" s="37">
        <f>F14</f>
        <v>390</v>
      </c>
      <c r="G13" s="37">
        <f>G15+G16+G17+G18+G19</f>
        <v>450</v>
      </c>
      <c r="H13" s="37">
        <f>SUM(H14:H19)</f>
        <v>840</v>
      </c>
      <c r="I13" s="37">
        <f>SUM(I14:I19)</f>
        <v>896</v>
      </c>
      <c r="J13" s="37">
        <f>SUM(J14:J19)</f>
        <v>2867200</v>
      </c>
      <c r="K13" s="37">
        <f>SUM(K14:K19)</f>
        <v>1344000</v>
      </c>
      <c r="L13" s="47">
        <f>L14+L15+L16+L17+L18+L19</f>
        <v>0</v>
      </c>
      <c r="M13" s="38">
        <f>SUM(M14:M19)</f>
        <v>4211200</v>
      </c>
    </row>
    <row r="14" spans="1:13">
      <c r="A14" s="12"/>
      <c r="B14" s="1" t="s">
        <v>3</v>
      </c>
      <c r="C14" s="235">
        <v>26</v>
      </c>
      <c r="D14" s="235"/>
      <c r="E14" s="235">
        <f>C14</f>
        <v>26</v>
      </c>
      <c r="F14" s="235">
        <f>C14*15</f>
        <v>390</v>
      </c>
      <c r="G14" s="235"/>
      <c r="H14" s="30">
        <f>F14</f>
        <v>390</v>
      </c>
      <c r="I14" s="30">
        <f t="shared" ref="I14:I19" si="1">H14+E14</f>
        <v>416</v>
      </c>
      <c r="J14" s="30">
        <f t="shared" ref="J14:J19" si="2">3200*I14</f>
        <v>1331200</v>
      </c>
      <c r="K14" s="30">
        <f t="shared" si="0"/>
        <v>624000</v>
      </c>
      <c r="L14" s="46"/>
      <c r="M14" s="43">
        <f t="shared" ref="M14:M19" si="3">J14+K14</f>
        <v>1955200</v>
      </c>
    </row>
    <row r="15" spans="1:13">
      <c r="A15" s="12"/>
      <c r="B15" s="1" t="s">
        <v>6</v>
      </c>
      <c r="C15" s="235"/>
      <c r="D15" s="235">
        <v>11</v>
      </c>
      <c r="E15" s="235">
        <f>D15</f>
        <v>11</v>
      </c>
      <c r="F15" s="235"/>
      <c r="G15" s="235">
        <f>D15*15</f>
        <v>165</v>
      </c>
      <c r="H15" s="30">
        <f>G15</f>
        <v>165</v>
      </c>
      <c r="I15" s="30">
        <f t="shared" si="1"/>
        <v>176</v>
      </c>
      <c r="J15" s="30">
        <f t="shared" si="2"/>
        <v>563200</v>
      </c>
      <c r="K15" s="30">
        <f t="shared" si="0"/>
        <v>264000</v>
      </c>
      <c r="L15" s="46"/>
      <c r="M15" s="43">
        <f t="shared" si="3"/>
        <v>827200</v>
      </c>
    </row>
    <row r="16" spans="1:13">
      <c r="A16" s="12"/>
      <c r="B16" s="1" t="s">
        <v>5</v>
      </c>
      <c r="C16" s="235"/>
      <c r="D16" s="235">
        <v>17</v>
      </c>
      <c r="E16" s="235">
        <f>D16</f>
        <v>17</v>
      </c>
      <c r="F16" s="235"/>
      <c r="G16" s="235">
        <f>D16*15</f>
        <v>255</v>
      </c>
      <c r="H16" s="30">
        <f>G16</f>
        <v>255</v>
      </c>
      <c r="I16" s="30">
        <f t="shared" si="1"/>
        <v>272</v>
      </c>
      <c r="J16" s="30">
        <f t="shared" si="2"/>
        <v>870400</v>
      </c>
      <c r="K16" s="30">
        <f t="shared" si="0"/>
        <v>408000</v>
      </c>
      <c r="L16" s="46"/>
      <c r="M16" s="43">
        <f t="shared" si="3"/>
        <v>1278400</v>
      </c>
    </row>
    <row r="17" spans="1:13">
      <c r="A17" s="12"/>
      <c r="B17" s="2" t="s">
        <v>7</v>
      </c>
      <c r="C17" s="235"/>
      <c r="D17" s="235"/>
      <c r="E17" s="235">
        <f>D17</f>
        <v>0</v>
      </c>
      <c r="F17" s="235"/>
      <c r="G17" s="235">
        <f>D17*15</f>
        <v>0</v>
      </c>
      <c r="H17" s="30">
        <f>G17</f>
        <v>0</v>
      </c>
      <c r="I17" s="30">
        <f t="shared" si="1"/>
        <v>0</v>
      </c>
      <c r="J17" s="30">
        <f t="shared" si="2"/>
        <v>0</v>
      </c>
      <c r="K17" s="30">
        <f t="shared" si="0"/>
        <v>0</v>
      </c>
      <c r="L17" s="46"/>
      <c r="M17" s="43">
        <f t="shared" si="3"/>
        <v>0</v>
      </c>
    </row>
    <row r="18" spans="1:13">
      <c r="A18" s="13"/>
      <c r="B18" s="2" t="s">
        <v>8</v>
      </c>
      <c r="C18" s="235"/>
      <c r="D18" s="235">
        <v>1</v>
      </c>
      <c r="E18" s="235">
        <f>D18</f>
        <v>1</v>
      </c>
      <c r="F18" s="235"/>
      <c r="G18" s="235">
        <f>D18*15</f>
        <v>15</v>
      </c>
      <c r="H18" s="30">
        <f>G18</f>
        <v>15</v>
      </c>
      <c r="I18" s="30">
        <f t="shared" si="1"/>
        <v>16</v>
      </c>
      <c r="J18" s="30">
        <f t="shared" si="2"/>
        <v>51200</v>
      </c>
      <c r="K18" s="30">
        <f t="shared" si="0"/>
        <v>24000</v>
      </c>
      <c r="L18" s="46"/>
      <c r="M18" s="43">
        <f t="shared" si="3"/>
        <v>75200</v>
      </c>
    </row>
    <row r="19" spans="1:13">
      <c r="A19" s="14"/>
      <c r="B19" s="23" t="s">
        <v>4</v>
      </c>
      <c r="C19" s="235"/>
      <c r="D19" s="235">
        <v>1</v>
      </c>
      <c r="E19" s="235">
        <f>D19</f>
        <v>1</v>
      </c>
      <c r="F19" s="235"/>
      <c r="G19" s="235">
        <f>D19*15</f>
        <v>15</v>
      </c>
      <c r="H19" s="30">
        <f>G19</f>
        <v>15</v>
      </c>
      <c r="I19" s="30">
        <f t="shared" si="1"/>
        <v>16</v>
      </c>
      <c r="J19" s="30">
        <f t="shared" si="2"/>
        <v>51200</v>
      </c>
      <c r="K19" s="30">
        <f t="shared" si="0"/>
        <v>24000</v>
      </c>
      <c r="L19" s="46"/>
      <c r="M19" s="43">
        <f t="shared" si="3"/>
        <v>75200</v>
      </c>
    </row>
    <row r="20" spans="1:13">
      <c r="A20" s="36">
        <v>3</v>
      </c>
      <c r="B20" s="33" t="s">
        <v>22</v>
      </c>
      <c r="C20" s="37"/>
      <c r="D20" s="37">
        <f>D21</f>
        <v>84</v>
      </c>
      <c r="E20" s="37">
        <f>E21</f>
        <v>84</v>
      </c>
      <c r="F20" s="37"/>
      <c r="G20" s="37">
        <f t="shared" ref="G20:M20" si="4">G21</f>
        <v>1260</v>
      </c>
      <c r="H20" s="37">
        <f t="shared" si="4"/>
        <v>1260</v>
      </c>
      <c r="I20" s="37">
        <f t="shared" si="4"/>
        <v>1344</v>
      </c>
      <c r="J20" s="37">
        <f t="shared" si="4"/>
        <v>4300800</v>
      </c>
      <c r="K20" s="37">
        <f t="shared" si="4"/>
        <v>0</v>
      </c>
      <c r="L20" s="47">
        <f t="shared" si="4"/>
        <v>0</v>
      </c>
      <c r="M20" s="38">
        <f t="shared" si="4"/>
        <v>4300800</v>
      </c>
    </row>
    <row r="21" spans="1:13">
      <c r="A21" s="10"/>
      <c r="B21" s="24" t="s">
        <v>19</v>
      </c>
      <c r="C21" s="235"/>
      <c r="D21" s="235">
        <v>84</v>
      </c>
      <c r="E21" s="235">
        <f>D21</f>
        <v>84</v>
      </c>
      <c r="F21" s="235"/>
      <c r="G21" s="235">
        <f>E21*15</f>
        <v>1260</v>
      </c>
      <c r="H21" s="30">
        <f>G20</f>
        <v>1260</v>
      </c>
      <c r="I21" s="30">
        <f>H21+E21</f>
        <v>1344</v>
      </c>
      <c r="J21" s="30">
        <f>3200*I21</f>
        <v>4300800</v>
      </c>
      <c r="K21" s="30"/>
      <c r="L21" s="46"/>
      <c r="M21" s="43">
        <f>J21+K21</f>
        <v>4300800</v>
      </c>
    </row>
    <row r="22" spans="1:13">
      <c r="A22" s="36">
        <v>4</v>
      </c>
      <c r="B22" s="33" t="s">
        <v>23</v>
      </c>
      <c r="C22" s="37"/>
      <c r="D22" s="37">
        <f>D23</f>
        <v>1</v>
      </c>
      <c r="E22" s="37">
        <f>E23</f>
        <v>1</v>
      </c>
      <c r="F22" s="37"/>
      <c r="G22" s="37">
        <f t="shared" ref="G22:M22" si="5">G23</f>
        <v>32</v>
      </c>
      <c r="H22" s="38">
        <f t="shared" si="5"/>
        <v>32</v>
      </c>
      <c r="I22" s="38">
        <f t="shared" si="5"/>
        <v>34</v>
      </c>
      <c r="J22" s="38">
        <f t="shared" si="5"/>
        <v>108800</v>
      </c>
      <c r="K22" s="38">
        <f t="shared" si="5"/>
        <v>51200</v>
      </c>
      <c r="L22" s="47">
        <f t="shared" si="5"/>
        <v>0</v>
      </c>
      <c r="M22" s="44">
        <f t="shared" si="5"/>
        <v>160000</v>
      </c>
    </row>
    <row r="23" spans="1:13">
      <c r="A23" s="15"/>
      <c r="B23" s="3" t="s">
        <v>9</v>
      </c>
      <c r="C23" s="235"/>
      <c r="D23" s="235">
        <v>1</v>
      </c>
      <c r="E23" s="235">
        <f>D22</f>
        <v>1</v>
      </c>
      <c r="F23" s="235"/>
      <c r="G23" s="235">
        <f>E23*32</f>
        <v>32</v>
      </c>
      <c r="H23" s="30">
        <f>G22</f>
        <v>32</v>
      </c>
      <c r="I23" s="235">
        <f>H23+E23*2</f>
        <v>34</v>
      </c>
      <c r="J23" s="30">
        <f>3200*I23</f>
        <v>108800</v>
      </c>
      <c r="K23" s="30">
        <f>1600*H23</f>
        <v>51200</v>
      </c>
      <c r="L23" s="46"/>
      <c r="M23" s="43">
        <f>J23+K23</f>
        <v>160000</v>
      </c>
    </row>
    <row r="24" spans="1:13">
      <c r="A24" s="36">
        <v>5</v>
      </c>
      <c r="B24" s="33" t="s">
        <v>24</v>
      </c>
      <c r="C24" s="37"/>
      <c r="D24" s="37">
        <f>D25</f>
        <v>1</v>
      </c>
      <c r="E24" s="37">
        <f>E25</f>
        <v>1</v>
      </c>
      <c r="F24" s="37"/>
      <c r="G24" s="37">
        <f t="shared" ref="G24:M24" si="6">G25</f>
        <v>28</v>
      </c>
      <c r="H24" s="38">
        <f t="shared" si="6"/>
        <v>28</v>
      </c>
      <c r="I24" s="38">
        <f t="shared" si="6"/>
        <v>29</v>
      </c>
      <c r="J24" s="38">
        <f t="shared" si="6"/>
        <v>92800</v>
      </c>
      <c r="K24" s="38">
        <f t="shared" si="6"/>
        <v>44800</v>
      </c>
      <c r="L24" s="48">
        <f t="shared" si="6"/>
        <v>0</v>
      </c>
      <c r="M24" s="216">
        <f t="shared" si="6"/>
        <v>137600</v>
      </c>
    </row>
    <row r="25" spans="1:13">
      <c r="A25" s="16"/>
      <c r="B25" s="23" t="s">
        <v>10</v>
      </c>
      <c r="C25" s="235"/>
      <c r="D25" s="235">
        <v>1</v>
      </c>
      <c r="E25" s="235">
        <f>D24</f>
        <v>1</v>
      </c>
      <c r="F25" s="235"/>
      <c r="G25" s="235">
        <v>28</v>
      </c>
      <c r="H25" s="30">
        <f>G25</f>
        <v>28</v>
      </c>
      <c r="I25" s="30">
        <f>H25+E25</f>
        <v>29</v>
      </c>
      <c r="J25" s="30">
        <f>3200*I25</f>
        <v>92800</v>
      </c>
      <c r="K25" s="30">
        <f>1600*H25</f>
        <v>44800</v>
      </c>
      <c r="L25" s="46"/>
      <c r="M25" s="43">
        <f>J25+K25</f>
        <v>137600</v>
      </c>
    </row>
    <row r="26" spans="1:13">
      <c r="A26" s="39">
        <v>6</v>
      </c>
      <c r="B26" s="33" t="s">
        <v>25</v>
      </c>
      <c r="C26" s="37"/>
      <c r="D26" s="37">
        <f>D27</f>
        <v>1</v>
      </c>
      <c r="E26" s="37">
        <f>E27</f>
        <v>1</v>
      </c>
      <c r="F26" s="37"/>
      <c r="G26" s="37">
        <f t="shared" ref="G26:M26" si="7">G27</f>
        <v>24</v>
      </c>
      <c r="H26" s="38">
        <f t="shared" si="7"/>
        <v>24</v>
      </c>
      <c r="I26" s="38">
        <f t="shared" si="7"/>
        <v>25</v>
      </c>
      <c r="J26" s="38">
        <f t="shared" si="7"/>
        <v>80000</v>
      </c>
      <c r="K26" s="38">
        <f t="shared" si="7"/>
        <v>38400</v>
      </c>
      <c r="L26" s="48">
        <f t="shared" si="7"/>
        <v>0</v>
      </c>
      <c r="M26" s="216">
        <f t="shared" si="7"/>
        <v>118400</v>
      </c>
    </row>
    <row r="27" spans="1:13">
      <c r="A27" s="15"/>
      <c r="B27" s="3" t="s">
        <v>10</v>
      </c>
      <c r="C27" s="235"/>
      <c r="D27" s="235">
        <v>1</v>
      </c>
      <c r="E27" s="235">
        <f>D26</f>
        <v>1</v>
      </c>
      <c r="F27" s="235"/>
      <c r="G27" s="235">
        <f>E27*24</f>
        <v>24</v>
      </c>
      <c r="H27" s="30">
        <f>G27</f>
        <v>24</v>
      </c>
      <c r="I27" s="30">
        <f>H27+E27</f>
        <v>25</v>
      </c>
      <c r="J27" s="30">
        <f>3200*I27</f>
        <v>80000</v>
      </c>
      <c r="K27" s="30">
        <f>1600*H27</f>
        <v>38400</v>
      </c>
      <c r="L27" s="46"/>
      <c r="M27" s="43">
        <f>J27+K27</f>
        <v>118400</v>
      </c>
    </row>
    <row r="28" spans="1:13">
      <c r="A28" s="36">
        <v>7</v>
      </c>
      <c r="B28" s="33" t="s">
        <v>26</v>
      </c>
      <c r="C28" s="37">
        <f>C29</f>
        <v>3</v>
      </c>
      <c r="D28" s="37">
        <f>D30</f>
        <v>6</v>
      </c>
      <c r="E28" s="37">
        <f>E29+E30</f>
        <v>9</v>
      </c>
      <c r="F28" s="37">
        <f>F29</f>
        <v>76</v>
      </c>
      <c r="G28" s="37">
        <f>G30</f>
        <v>135</v>
      </c>
      <c r="H28" s="38">
        <f t="shared" ref="H28:M28" si="8">H29+H30</f>
        <v>211</v>
      </c>
      <c r="I28" s="38">
        <f t="shared" si="8"/>
        <v>220</v>
      </c>
      <c r="J28" s="38">
        <f t="shared" si="8"/>
        <v>704000</v>
      </c>
      <c r="K28" s="38">
        <f t="shared" si="8"/>
        <v>337600</v>
      </c>
      <c r="L28" s="48">
        <f t="shared" si="8"/>
        <v>0</v>
      </c>
      <c r="M28" s="216">
        <f t="shared" si="8"/>
        <v>1084800</v>
      </c>
    </row>
    <row r="29" spans="1:13">
      <c r="A29" s="12"/>
      <c r="B29" s="1" t="s">
        <v>3</v>
      </c>
      <c r="C29" s="235">
        <v>3</v>
      </c>
      <c r="D29" s="235"/>
      <c r="E29" s="235">
        <f>C29</f>
        <v>3</v>
      </c>
      <c r="F29" s="235">
        <v>76</v>
      </c>
      <c r="G29" s="235"/>
      <c r="H29" s="30">
        <f>F29</f>
        <v>76</v>
      </c>
      <c r="I29" s="30">
        <f>H29+E29</f>
        <v>79</v>
      </c>
      <c r="J29" s="30">
        <f>3200*I29</f>
        <v>252800</v>
      </c>
      <c r="K29" s="30">
        <f>1600*H29</f>
        <v>121600</v>
      </c>
      <c r="L29" s="46"/>
      <c r="M29" s="43">
        <f>J29+K29</f>
        <v>374400</v>
      </c>
    </row>
    <row r="30" spans="1:13">
      <c r="A30" s="12"/>
      <c r="B30" s="1" t="s">
        <v>11</v>
      </c>
      <c r="C30" s="235"/>
      <c r="D30" s="235">
        <v>6</v>
      </c>
      <c r="E30" s="235">
        <f>D30</f>
        <v>6</v>
      </c>
      <c r="F30" s="235"/>
      <c r="G30" s="30">
        <v>135</v>
      </c>
      <c r="H30" s="30">
        <f>G30</f>
        <v>135</v>
      </c>
      <c r="I30" s="30">
        <f>H30+E30</f>
        <v>141</v>
      </c>
      <c r="J30" s="30">
        <f>3200*I30</f>
        <v>451200</v>
      </c>
      <c r="K30" s="30">
        <f>1600*H30</f>
        <v>216000</v>
      </c>
      <c r="L30" s="46"/>
      <c r="M30" s="43">
        <f>J30+K30+M62</f>
        <v>710400</v>
      </c>
    </row>
    <row r="31" spans="1:13">
      <c r="A31" s="36">
        <v>8</v>
      </c>
      <c r="B31" s="33" t="s">
        <v>165</v>
      </c>
      <c r="C31" s="37">
        <f t="shared" ref="C31:M31" si="9">C32</f>
        <v>0</v>
      </c>
      <c r="D31" s="37">
        <f t="shared" si="9"/>
        <v>22</v>
      </c>
      <c r="E31" s="37">
        <f t="shared" si="9"/>
        <v>22</v>
      </c>
      <c r="F31" s="37">
        <f t="shared" si="9"/>
        <v>0</v>
      </c>
      <c r="G31" s="37">
        <f t="shared" si="9"/>
        <v>330</v>
      </c>
      <c r="H31" s="37">
        <f t="shared" si="9"/>
        <v>330</v>
      </c>
      <c r="I31" s="37">
        <f t="shared" si="9"/>
        <v>352</v>
      </c>
      <c r="J31" s="37">
        <f t="shared" si="9"/>
        <v>1126400</v>
      </c>
      <c r="K31" s="37">
        <f t="shared" si="9"/>
        <v>0</v>
      </c>
      <c r="L31" s="37">
        <f t="shared" si="9"/>
        <v>0</v>
      </c>
      <c r="M31" s="38">
        <f t="shared" si="9"/>
        <v>1126400</v>
      </c>
    </row>
    <row r="32" spans="1:13">
      <c r="A32" s="10"/>
      <c r="B32" s="24" t="s">
        <v>19</v>
      </c>
      <c r="C32" s="235"/>
      <c r="D32" s="235">
        <v>22</v>
      </c>
      <c r="E32" s="235">
        <f>D32</f>
        <v>22</v>
      </c>
      <c r="F32" s="235"/>
      <c r="G32" s="235">
        <f>E32*15</f>
        <v>330</v>
      </c>
      <c r="H32" s="30">
        <f>G32</f>
        <v>330</v>
      </c>
      <c r="I32" s="30">
        <f>H32+E32</f>
        <v>352</v>
      </c>
      <c r="J32" s="30">
        <f>3200*I32</f>
        <v>1126400</v>
      </c>
      <c r="K32" s="30"/>
      <c r="L32" s="46"/>
      <c r="M32" s="43">
        <f>J32+K32</f>
        <v>1126400</v>
      </c>
    </row>
    <row r="33" spans="1:13">
      <c r="A33" s="36">
        <v>9</v>
      </c>
      <c r="B33" s="33" t="s">
        <v>27</v>
      </c>
      <c r="C33" s="37">
        <f>C34</f>
        <v>6</v>
      </c>
      <c r="D33" s="37">
        <f>D35+D36</f>
        <v>9</v>
      </c>
      <c r="E33" s="37">
        <f>E34+E35+E36</f>
        <v>15</v>
      </c>
      <c r="F33" s="37">
        <f>F34</f>
        <v>151</v>
      </c>
      <c r="G33" s="37">
        <f>G35+G36</f>
        <v>253</v>
      </c>
      <c r="H33" s="38">
        <f t="shared" ref="H33:M33" si="10">H34+H35+H36</f>
        <v>404</v>
      </c>
      <c r="I33" s="38">
        <f t="shared" si="10"/>
        <v>420</v>
      </c>
      <c r="J33" s="35">
        <f t="shared" si="10"/>
        <v>1395200</v>
      </c>
      <c r="K33" s="35">
        <f t="shared" si="10"/>
        <v>548800</v>
      </c>
      <c r="L33" s="47">
        <f t="shared" si="10"/>
        <v>0</v>
      </c>
      <c r="M33" s="216">
        <f t="shared" si="10"/>
        <v>1944000</v>
      </c>
    </row>
    <row r="34" spans="1:13">
      <c r="A34" s="12"/>
      <c r="B34" s="1" t="s">
        <v>3</v>
      </c>
      <c r="C34" s="235">
        <v>6</v>
      </c>
      <c r="D34" s="235"/>
      <c r="E34" s="235">
        <f>C34</f>
        <v>6</v>
      </c>
      <c r="F34" s="235">
        <v>151</v>
      </c>
      <c r="G34" s="235"/>
      <c r="H34" s="30">
        <f>F34</f>
        <v>151</v>
      </c>
      <c r="I34" s="30">
        <f>H34+E34</f>
        <v>157</v>
      </c>
      <c r="J34" s="30">
        <f>3200*I34</f>
        <v>502400</v>
      </c>
      <c r="K34" s="30">
        <f>1600*H34</f>
        <v>241600</v>
      </c>
      <c r="L34" s="46"/>
      <c r="M34" s="43">
        <f>J34+K34</f>
        <v>744000</v>
      </c>
    </row>
    <row r="35" spans="1:13">
      <c r="A35" s="13"/>
      <c r="B35" s="1" t="s">
        <v>12</v>
      </c>
      <c r="C35" s="235"/>
      <c r="D35" s="235">
        <v>7</v>
      </c>
      <c r="E35" s="235">
        <f>D35</f>
        <v>7</v>
      </c>
      <c r="F35" s="235"/>
      <c r="G35" s="235">
        <v>192</v>
      </c>
      <c r="H35" s="30">
        <f>G35</f>
        <v>192</v>
      </c>
      <c r="I35" s="30">
        <f>H35+E35</f>
        <v>199</v>
      </c>
      <c r="J35" s="30">
        <f>3200*I35</f>
        <v>636800</v>
      </c>
      <c r="K35" s="30">
        <f>1600*H35</f>
        <v>307200</v>
      </c>
      <c r="L35" s="46"/>
      <c r="M35" s="43">
        <f>J35+K35+M63</f>
        <v>944000</v>
      </c>
    </row>
    <row r="36" spans="1:13">
      <c r="A36" s="13"/>
      <c r="B36" s="96" t="s">
        <v>128</v>
      </c>
      <c r="C36" s="235"/>
      <c r="D36" s="235">
        <v>2</v>
      </c>
      <c r="E36" s="235">
        <f>D36</f>
        <v>2</v>
      </c>
      <c r="F36" s="235"/>
      <c r="G36" s="235">
        <v>61</v>
      </c>
      <c r="H36" s="30">
        <f>G36</f>
        <v>61</v>
      </c>
      <c r="I36" s="30">
        <v>64</v>
      </c>
      <c r="J36" s="30">
        <f>4000*I36</f>
        <v>256000</v>
      </c>
      <c r="K36" s="30"/>
      <c r="L36" s="46"/>
      <c r="M36" s="43">
        <f>J36+K36</f>
        <v>256000</v>
      </c>
    </row>
    <row r="37" spans="1:13">
      <c r="A37" s="36">
        <v>10</v>
      </c>
      <c r="B37" s="33" t="s">
        <v>28</v>
      </c>
      <c r="C37" s="37"/>
      <c r="D37" s="37">
        <f>D38</f>
        <v>21</v>
      </c>
      <c r="E37" s="37">
        <f>E38</f>
        <v>21</v>
      </c>
      <c r="F37" s="37"/>
      <c r="G37" s="37">
        <f t="shared" ref="G37:M37" si="11">G38</f>
        <v>315</v>
      </c>
      <c r="H37" s="38">
        <f t="shared" si="11"/>
        <v>315</v>
      </c>
      <c r="I37" s="38">
        <f t="shared" si="11"/>
        <v>336</v>
      </c>
      <c r="J37" s="38">
        <f t="shared" si="11"/>
        <v>1344000</v>
      </c>
      <c r="K37" s="38">
        <f t="shared" si="11"/>
        <v>0</v>
      </c>
      <c r="L37" s="48">
        <f t="shared" si="11"/>
        <v>0</v>
      </c>
      <c r="M37" s="216">
        <f t="shared" si="11"/>
        <v>1344000</v>
      </c>
    </row>
    <row r="38" spans="1:13">
      <c r="A38" s="13"/>
      <c r="B38" s="96" t="s">
        <v>128</v>
      </c>
      <c r="C38" s="235"/>
      <c r="D38" s="235">
        <v>21</v>
      </c>
      <c r="E38" s="235">
        <f>D38</f>
        <v>21</v>
      </c>
      <c r="F38" s="235"/>
      <c r="G38" s="235">
        <f>E38*15</f>
        <v>315</v>
      </c>
      <c r="H38" s="30">
        <f>G38</f>
        <v>315</v>
      </c>
      <c r="I38" s="30">
        <f>H38+E38</f>
        <v>336</v>
      </c>
      <c r="J38" s="30">
        <f>4000*I38</f>
        <v>1344000</v>
      </c>
      <c r="K38" s="30"/>
      <c r="L38" s="46"/>
      <c r="M38" s="43">
        <f>J38+K38</f>
        <v>1344000</v>
      </c>
    </row>
    <row r="39" spans="1:13">
      <c r="A39" s="36">
        <v>11</v>
      </c>
      <c r="B39" s="33" t="s">
        <v>44</v>
      </c>
      <c r="C39" s="37"/>
      <c r="D39" s="37">
        <f>D40+D41+D42+D43</f>
        <v>2</v>
      </c>
      <c r="E39" s="37">
        <f>E40+E41+E42+E43</f>
        <v>2</v>
      </c>
      <c r="F39" s="37"/>
      <c r="G39" s="37">
        <f t="shared" ref="G39:M39" si="12">G40+G41+G42+G43</f>
        <v>82</v>
      </c>
      <c r="H39" s="38">
        <f t="shared" si="12"/>
        <v>82</v>
      </c>
      <c r="I39" s="38">
        <f t="shared" si="12"/>
        <v>86</v>
      </c>
      <c r="J39" s="45">
        <f t="shared" si="12"/>
        <v>421400</v>
      </c>
      <c r="K39" s="45">
        <f t="shared" si="12"/>
        <v>187600</v>
      </c>
      <c r="L39" s="47">
        <f t="shared" si="12"/>
        <v>0</v>
      </c>
      <c r="M39" s="216">
        <f t="shared" si="12"/>
        <v>609000</v>
      </c>
    </row>
    <row r="40" spans="1:13">
      <c r="A40" s="9"/>
      <c r="B40" s="24" t="s">
        <v>13</v>
      </c>
      <c r="C40" s="235"/>
      <c r="D40" s="235">
        <v>1</v>
      </c>
      <c r="E40" s="235">
        <f>D40</f>
        <v>1</v>
      </c>
      <c r="F40" s="235"/>
      <c r="G40" s="235">
        <f>E40*44</f>
        <v>44</v>
      </c>
      <c r="H40" s="30">
        <f>G40</f>
        <v>44</v>
      </c>
      <c r="I40" s="30">
        <f>H40+E40*2</f>
        <v>46</v>
      </c>
      <c r="J40" s="30">
        <f>4300*I40</f>
        <v>197800</v>
      </c>
      <c r="K40" s="30">
        <f>1500*H40</f>
        <v>66000</v>
      </c>
      <c r="L40" s="46"/>
      <c r="M40" s="43">
        <f>J40+K40</f>
        <v>263800</v>
      </c>
    </row>
    <row r="41" spans="1:13">
      <c r="A41" s="9"/>
      <c r="B41" s="24" t="s">
        <v>14</v>
      </c>
      <c r="C41" s="235"/>
      <c r="D41" s="235"/>
      <c r="E41" s="235">
        <f>D41</f>
        <v>0</v>
      </c>
      <c r="F41" s="235"/>
      <c r="G41" s="235">
        <f>E41*40</f>
        <v>0</v>
      </c>
      <c r="H41" s="30">
        <f>G41</f>
        <v>0</v>
      </c>
      <c r="I41" s="30">
        <f>E41*42</f>
        <v>0</v>
      </c>
      <c r="J41" s="30">
        <f>4300*I41</f>
        <v>0</v>
      </c>
      <c r="K41" s="30">
        <f>1500*H41</f>
        <v>0</v>
      </c>
      <c r="L41" s="46"/>
      <c r="M41" s="43">
        <f>J41+K41</f>
        <v>0</v>
      </c>
    </row>
    <row r="42" spans="1:13">
      <c r="A42" s="9"/>
      <c r="B42" s="24" t="s">
        <v>15</v>
      </c>
      <c r="C42" s="235"/>
      <c r="D42" s="235"/>
      <c r="E42" s="235">
        <f>D42</f>
        <v>0</v>
      </c>
      <c r="F42" s="235"/>
      <c r="G42" s="235"/>
      <c r="H42" s="30">
        <f>G42</f>
        <v>0</v>
      </c>
      <c r="I42" s="30">
        <f>H42+E42*2</f>
        <v>0</v>
      </c>
      <c r="J42" s="30">
        <f>4300*I42</f>
        <v>0</v>
      </c>
      <c r="K42" s="30">
        <f>1500*H42</f>
        <v>0</v>
      </c>
      <c r="L42" s="46"/>
      <c r="M42" s="43">
        <f>J42+K42</f>
        <v>0</v>
      </c>
    </row>
    <row r="43" spans="1:13">
      <c r="A43" s="9"/>
      <c r="B43" s="22" t="s">
        <v>16</v>
      </c>
      <c r="C43" s="235"/>
      <c r="D43" s="235">
        <v>1</v>
      </c>
      <c r="E43" s="235">
        <f>D43</f>
        <v>1</v>
      </c>
      <c r="F43" s="235"/>
      <c r="G43" s="235">
        <f>E43*38</f>
        <v>38</v>
      </c>
      <c r="H43" s="30">
        <f>G43</f>
        <v>38</v>
      </c>
      <c r="I43" s="30">
        <f>H43+E43*2</f>
        <v>40</v>
      </c>
      <c r="J43" s="30">
        <f>5590*I43</f>
        <v>223600</v>
      </c>
      <c r="K43" s="30">
        <f>3200*H43</f>
        <v>121600</v>
      </c>
      <c r="L43" s="46"/>
      <c r="M43" s="43">
        <f>J43+K43</f>
        <v>345200</v>
      </c>
    </row>
    <row r="44" spans="1:13">
      <c r="A44" s="36">
        <v>12</v>
      </c>
      <c r="B44" s="40" t="s">
        <v>46</v>
      </c>
      <c r="C44" s="37"/>
      <c r="D44" s="37">
        <f>D45+D46</f>
        <v>2</v>
      </c>
      <c r="E44" s="37">
        <f>E45+E46</f>
        <v>2</v>
      </c>
      <c r="F44" s="37"/>
      <c r="G44" s="37">
        <f t="shared" ref="G44:M44" si="13">G45+G46</f>
        <v>80</v>
      </c>
      <c r="H44" s="37">
        <f t="shared" si="13"/>
        <v>80</v>
      </c>
      <c r="I44" s="37">
        <f t="shared" si="13"/>
        <v>84</v>
      </c>
      <c r="J44" s="37">
        <f t="shared" si="13"/>
        <v>469560</v>
      </c>
      <c r="K44" s="37">
        <f t="shared" si="13"/>
        <v>120000</v>
      </c>
      <c r="L44" s="37">
        <f t="shared" si="13"/>
        <v>0</v>
      </c>
      <c r="M44" s="219">
        <f t="shared" si="13"/>
        <v>589560</v>
      </c>
    </row>
    <row r="45" spans="1:13">
      <c r="A45" s="17"/>
      <c r="B45" s="25" t="s">
        <v>13</v>
      </c>
      <c r="C45" s="235"/>
      <c r="D45" s="235">
        <v>1</v>
      </c>
      <c r="E45" s="235">
        <f t="shared" ref="E45:E51" si="14">D45</f>
        <v>1</v>
      </c>
      <c r="F45" s="235"/>
      <c r="G45" s="235">
        <f>D45*40</f>
        <v>40</v>
      </c>
      <c r="H45" s="30">
        <f>G45</f>
        <v>40</v>
      </c>
      <c r="I45" s="235">
        <f>D45*42</f>
        <v>42</v>
      </c>
      <c r="J45" s="30">
        <f>5590*I45</f>
        <v>234780</v>
      </c>
      <c r="K45" s="30">
        <f>1500*H45</f>
        <v>60000</v>
      </c>
      <c r="L45" s="46"/>
      <c r="M45" s="43">
        <f>J45+K45</f>
        <v>294780</v>
      </c>
    </row>
    <row r="46" spans="1:13">
      <c r="A46" s="18"/>
      <c r="B46" s="24" t="s">
        <v>15</v>
      </c>
      <c r="C46" s="235"/>
      <c r="D46" s="235">
        <v>1</v>
      </c>
      <c r="E46" s="235">
        <f t="shared" si="14"/>
        <v>1</v>
      </c>
      <c r="F46" s="235"/>
      <c r="G46" s="235">
        <f>D46*40</f>
        <v>40</v>
      </c>
      <c r="H46" s="30">
        <f>G46</f>
        <v>40</v>
      </c>
      <c r="I46" s="235">
        <f>D46*42</f>
        <v>42</v>
      </c>
      <c r="J46" s="30">
        <f>5590*I46</f>
        <v>234780</v>
      </c>
      <c r="K46" s="30">
        <f>1500*H46</f>
        <v>60000</v>
      </c>
      <c r="L46" s="46"/>
      <c r="M46" s="43">
        <f>J46+K46</f>
        <v>294780</v>
      </c>
    </row>
    <row r="47" spans="1:13">
      <c r="A47" s="36">
        <v>13</v>
      </c>
      <c r="B47" s="33" t="s">
        <v>29</v>
      </c>
      <c r="C47" s="37"/>
      <c r="D47" s="37">
        <f>D48</f>
        <v>0</v>
      </c>
      <c r="E47" s="37">
        <f t="shared" si="14"/>
        <v>0</v>
      </c>
      <c r="F47" s="37"/>
      <c r="G47" s="37">
        <f t="shared" ref="G47:M47" si="15">G48</f>
        <v>0</v>
      </c>
      <c r="H47" s="38">
        <f t="shared" si="15"/>
        <v>0</v>
      </c>
      <c r="I47" s="38">
        <f t="shared" si="15"/>
        <v>0</v>
      </c>
      <c r="J47" s="38">
        <f t="shared" si="15"/>
        <v>0</v>
      </c>
      <c r="K47" s="38">
        <f t="shared" si="15"/>
        <v>0</v>
      </c>
      <c r="L47" s="48">
        <f t="shared" si="15"/>
        <v>0</v>
      </c>
      <c r="M47" s="216">
        <f t="shared" si="15"/>
        <v>0</v>
      </c>
    </row>
    <row r="48" spans="1:13">
      <c r="A48" s="19"/>
      <c r="B48" s="26" t="s">
        <v>17</v>
      </c>
      <c r="C48" s="235"/>
      <c r="D48" s="235"/>
      <c r="E48" s="235">
        <f t="shared" si="14"/>
        <v>0</v>
      </c>
      <c r="F48" s="235"/>
      <c r="G48" s="235">
        <f>D48*28</f>
        <v>0</v>
      </c>
      <c r="H48" s="30">
        <f>G48</f>
        <v>0</v>
      </c>
      <c r="I48" s="30">
        <f>H48+E48</f>
        <v>0</v>
      </c>
      <c r="J48" s="30">
        <f>4300*I48</f>
        <v>0</v>
      </c>
      <c r="K48" s="30">
        <f>2500*H48</f>
        <v>0</v>
      </c>
      <c r="L48" s="46"/>
      <c r="M48" s="43">
        <f>J48+K48</f>
        <v>0</v>
      </c>
    </row>
    <row r="49" spans="1:13">
      <c r="A49" s="36">
        <v>14</v>
      </c>
      <c r="B49" s="33" t="s">
        <v>30</v>
      </c>
      <c r="C49" s="37"/>
      <c r="D49" s="37">
        <f>D50+D51</f>
        <v>5</v>
      </c>
      <c r="E49" s="37">
        <f>E50+E51</f>
        <v>5</v>
      </c>
      <c r="F49" s="37"/>
      <c r="G49" s="37">
        <f t="shared" ref="G49:M49" si="16">G50+G51</f>
        <v>88</v>
      </c>
      <c r="H49" s="37">
        <f t="shared" si="16"/>
        <v>88</v>
      </c>
      <c r="I49" s="37">
        <f t="shared" si="16"/>
        <v>93</v>
      </c>
      <c r="J49" s="37">
        <f t="shared" si="16"/>
        <v>359200</v>
      </c>
      <c r="K49" s="37">
        <f t="shared" si="16"/>
        <v>24000</v>
      </c>
      <c r="L49" s="37">
        <f t="shared" si="16"/>
        <v>0</v>
      </c>
      <c r="M49" s="219">
        <f t="shared" si="16"/>
        <v>383200</v>
      </c>
    </row>
    <row r="50" spans="1:13">
      <c r="A50" s="152"/>
      <c r="B50" s="155" t="s">
        <v>155</v>
      </c>
      <c r="C50" s="153"/>
      <c r="D50" s="153">
        <v>1</v>
      </c>
      <c r="E50" s="235">
        <f t="shared" si="14"/>
        <v>1</v>
      </c>
      <c r="F50" s="153"/>
      <c r="G50" s="153">
        <f>E50*15</f>
        <v>15</v>
      </c>
      <c r="H50" s="30">
        <f>G50</f>
        <v>15</v>
      </c>
      <c r="I50" s="30">
        <f>H50+E50</f>
        <v>16</v>
      </c>
      <c r="J50" s="30">
        <f>3200*I50</f>
        <v>51200</v>
      </c>
      <c r="K50" s="30">
        <f>1600*H50</f>
        <v>24000</v>
      </c>
      <c r="L50" s="154"/>
      <c r="M50" s="43">
        <f>J50+K50+(L50*15000)</f>
        <v>75200</v>
      </c>
    </row>
    <row r="51" spans="1:13">
      <c r="A51" s="13"/>
      <c r="B51" s="156" t="s">
        <v>18</v>
      </c>
      <c r="C51" s="235"/>
      <c r="D51" s="235">
        <v>4</v>
      </c>
      <c r="E51" s="235">
        <f t="shared" si="14"/>
        <v>4</v>
      </c>
      <c r="F51" s="235"/>
      <c r="G51" s="153">
        <v>73</v>
      </c>
      <c r="H51" s="30">
        <f>G51</f>
        <v>73</v>
      </c>
      <c r="I51" s="30">
        <f>H51+E51</f>
        <v>77</v>
      </c>
      <c r="J51" s="30">
        <f>4000*I51</f>
        <v>308000</v>
      </c>
      <c r="K51" s="30"/>
      <c r="L51" s="46"/>
      <c r="M51" s="43">
        <f>J51+K51+(L51*15000)</f>
        <v>308000</v>
      </c>
    </row>
    <row r="52" spans="1:13">
      <c r="A52" s="36">
        <v>15</v>
      </c>
      <c r="B52" s="41" t="s">
        <v>214</v>
      </c>
      <c r="C52" s="37">
        <f t="shared" ref="C52:M54" si="17">C53</f>
        <v>0</v>
      </c>
      <c r="D52" s="37">
        <f t="shared" si="17"/>
        <v>1</v>
      </c>
      <c r="E52" s="37">
        <f t="shared" si="17"/>
        <v>1</v>
      </c>
      <c r="F52" s="37">
        <f t="shared" si="17"/>
        <v>0</v>
      </c>
      <c r="G52" s="37">
        <f t="shared" si="17"/>
        <v>44</v>
      </c>
      <c r="H52" s="37">
        <f t="shared" si="17"/>
        <v>44</v>
      </c>
      <c r="I52" s="38">
        <f t="shared" si="17"/>
        <v>46</v>
      </c>
      <c r="J52" s="38">
        <f t="shared" si="17"/>
        <v>257140</v>
      </c>
      <c r="K52" s="38">
        <f t="shared" si="17"/>
        <v>140800</v>
      </c>
      <c r="L52" s="48">
        <f t="shared" si="17"/>
        <v>0</v>
      </c>
      <c r="M52" s="44">
        <f t="shared" si="17"/>
        <v>397940</v>
      </c>
    </row>
    <row r="53" spans="1:13">
      <c r="A53" s="14"/>
      <c r="B53" s="96" t="s">
        <v>215</v>
      </c>
      <c r="C53" s="29"/>
      <c r="D53" s="29">
        <v>1</v>
      </c>
      <c r="E53" s="29">
        <f>D53</f>
        <v>1</v>
      </c>
      <c r="F53" s="29"/>
      <c r="G53" s="29">
        <v>44</v>
      </c>
      <c r="H53" s="31">
        <f>G53</f>
        <v>44</v>
      </c>
      <c r="I53" s="31">
        <f>H53+E53*2</f>
        <v>46</v>
      </c>
      <c r="J53" s="30">
        <f>5590*I53</f>
        <v>257140</v>
      </c>
      <c r="K53" s="30">
        <f>3200*H53</f>
        <v>140800</v>
      </c>
      <c r="L53" s="49"/>
      <c r="M53" s="43">
        <f>J53+K53</f>
        <v>397940</v>
      </c>
    </row>
    <row r="54" spans="1:13">
      <c r="A54" s="36">
        <v>16</v>
      </c>
      <c r="B54" s="41" t="s">
        <v>209</v>
      </c>
      <c r="C54" s="37">
        <f>C55</f>
        <v>0</v>
      </c>
      <c r="D54" s="37">
        <f>D55</f>
        <v>0</v>
      </c>
      <c r="E54" s="37">
        <f>E55</f>
        <v>0</v>
      </c>
      <c r="F54" s="37">
        <f>F55</f>
        <v>0</v>
      </c>
      <c r="G54" s="37">
        <f>G55</f>
        <v>0</v>
      </c>
      <c r="H54" s="38">
        <f t="shared" si="17"/>
        <v>0</v>
      </c>
      <c r="I54" s="38">
        <f t="shared" si="17"/>
        <v>0</v>
      </c>
      <c r="J54" s="38">
        <f t="shared" si="17"/>
        <v>0</v>
      </c>
      <c r="K54" s="38">
        <f t="shared" si="17"/>
        <v>0</v>
      </c>
      <c r="L54" s="48">
        <f t="shared" si="17"/>
        <v>0</v>
      </c>
      <c r="M54" s="44">
        <f t="shared" si="17"/>
        <v>0</v>
      </c>
    </row>
    <row r="55" spans="1:13">
      <c r="A55" s="14"/>
      <c r="B55" s="2" t="s">
        <v>210</v>
      </c>
      <c r="C55" s="29"/>
      <c r="D55" s="29"/>
      <c r="E55" s="29">
        <f>D55</f>
        <v>0</v>
      </c>
      <c r="F55" s="29"/>
      <c r="G55" s="29">
        <f>E55*44</f>
        <v>0</v>
      </c>
      <c r="H55" s="31">
        <f>G55</f>
        <v>0</v>
      </c>
      <c r="I55" s="31">
        <f>H55+E55*2</f>
        <v>0</v>
      </c>
      <c r="J55" s="30">
        <f>6500*I55</f>
        <v>0</v>
      </c>
      <c r="K55" s="30">
        <f>3200*H55</f>
        <v>0</v>
      </c>
      <c r="L55" s="49"/>
      <c r="M55" s="43">
        <f>J55+K55</f>
        <v>0</v>
      </c>
    </row>
    <row r="56" spans="1:13">
      <c r="A56" s="36">
        <v>17</v>
      </c>
      <c r="B56" s="33" t="s">
        <v>163</v>
      </c>
      <c r="C56" s="81">
        <f t="shared" ref="C56:K56" si="18">C57</f>
        <v>0</v>
      </c>
      <c r="D56" s="81">
        <f t="shared" si="18"/>
        <v>0</v>
      </c>
      <c r="E56" s="81">
        <f t="shared" si="18"/>
        <v>0</v>
      </c>
      <c r="F56" s="81">
        <f t="shared" si="18"/>
        <v>0</v>
      </c>
      <c r="G56" s="81">
        <f t="shared" si="18"/>
        <v>0</v>
      </c>
      <c r="H56" s="170">
        <f t="shared" si="18"/>
        <v>0</v>
      </c>
      <c r="I56" s="170">
        <f t="shared" si="18"/>
        <v>0</v>
      </c>
      <c r="J56" s="170">
        <f t="shared" si="18"/>
        <v>0</v>
      </c>
      <c r="K56" s="170">
        <f t="shared" si="18"/>
        <v>0</v>
      </c>
      <c r="L56" s="81">
        <f>L57+L59</f>
        <v>0</v>
      </c>
      <c r="M56" s="217">
        <f>M57</f>
        <v>0</v>
      </c>
    </row>
    <row r="57" spans="1:13">
      <c r="A57" s="14"/>
      <c r="B57" s="155" t="s">
        <v>93</v>
      </c>
      <c r="C57" s="29"/>
      <c r="D57" s="29"/>
      <c r="E57" s="29">
        <f>D56</f>
        <v>0</v>
      </c>
      <c r="F57" s="29"/>
      <c r="G57" s="29">
        <f>E57*38</f>
        <v>0</v>
      </c>
      <c r="H57" s="31">
        <f>G56</f>
        <v>0</v>
      </c>
      <c r="I57" s="31">
        <f>H57+E57*2</f>
        <v>0</v>
      </c>
      <c r="J57" s="79">
        <f>6500*I57</f>
        <v>0</v>
      </c>
      <c r="K57" s="30">
        <f>1500*H57</f>
        <v>0</v>
      </c>
      <c r="L57" s="49"/>
      <c r="M57" s="80">
        <f>J57+K57</f>
        <v>0</v>
      </c>
    </row>
    <row r="58" spans="1:13">
      <c r="A58" s="36">
        <v>18</v>
      </c>
      <c r="B58" s="33" t="s">
        <v>237</v>
      </c>
      <c r="C58" s="81">
        <f>C59</f>
        <v>0</v>
      </c>
      <c r="D58" s="81">
        <f>D59</f>
        <v>1</v>
      </c>
      <c r="E58" s="81">
        <f>E59</f>
        <v>1</v>
      </c>
      <c r="F58" s="81"/>
      <c r="G58" s="81">
        <f>G59</f>
        <v>44</v>
      </c>
      <c r="H58" s="170">
        <f>H59</f>
        <v>44</v>
      </c>
      <c r="I58" s="170">
        <f>I59</f>
        <v>46</v>
      </c>
      <c r="J58" s="170">
        <f>J59</f>
        <v>197800</v>
      </c>
      <c r="K58" s="170">
        <f>K59</f>
        <v>110000</v>
      </c>
      <c r="L58" s="81">
        <f>L59+L63</f>
        <v>0</v>
      </c>
      <c r="M58" s="217">
        <f>M59</f>
        <v>307800</v>
      </c>
    </row>
    <row r="59" spans="1:13">
      <c r="A59" s="14"/>
      <c r="B59" s="236" t="s">
        <v>234</v>
      </c>
      <c r="C59" s="29"/>
      <c r="D59" s="29">
        <v>1</v>
      </c>
      <c r="E59" s="29">
        <f>D58</f>
        <v>1</v>
      </c>
      <c r="F59" s="29"/>
      <c r="G59" s="29">
        <v>44</v>
      </c>
      <c r="H59" s="31">
        <f>G59</f>
        <v>44</v>
      </c>
      <c r="I59" s="31">
        <f>H59+E59*2</f>
        <v>46</v>
      </c>
      <c r="J59" s="79">
        <f>4300*I59</f>
        <v>197800</v>
      </c>
      <c r="K59" s="31">
        <f>2500*H59</f>
        <v>110000</v>
      </c>
      <c r="L59" s="49"/>
      <c r="M59" s="80">
        <f>J59+K59</f>
        <v>307800</v>
      </c>
    </row>
    <row r="60" spans="1:13">
      <c r="A60" s="211">
        <v>19</v>
      </c>
      <c r="B60" s="212" t="s">
        <v>216</v>
      </c>
      <c r="C60" s="209">
        <f t="shared" ref="C60:K60" si="19">C61</f>
        <v>1</v>
      </c>
      <c r="D60" s="209">
        <f t="shared" si="19"/>
        <v>0</v>
      </c>
      <c r="E60" s="209">
        <f t="shared" si="19"/>
        <v>1</v>
      </c>
      <c r="F60" s="209">
        <f t="shared" si="19"/>
        <v>39</v>
      </c>
      <c r="G60" s="209">
        <f t="shared" si="19"/>
        <v>0</v>
      </c>
      <c r="H60" s="210">
        <f t="shared" si="19"/>
        <v>39</v>
      </c>
      <c r="I60" s="210">
        <f t="shared" si="19"/>
        <v>41</v>
      </c>
      <c r="J60" s="210">
        <f t="shared" si="19"/>
        <v>266500</v>
      </c>
      <c r="K60" s="210">
        <f t="shared" si="19"/>
        <v>124800</v>
      </c>
      <c r="L60" s="209"/>
      <c r="M60" s="218">
        <f>M61</f>
        <v>391300</v>
      </c>
    </row>
    <row r="61" spans="1:13">
      <c r="A61" s="14"/>
      <c r="B61" s="205" t="s">
        <v>213</v>
      </c>
      <c r="C61" s="207">
        <v>1</v>
      </c>
      <c r="D61" s="207"/>
      <c r="E61" s="207">
        <f>C61</f>
        <v>1</v>
      </c>
      <c r="F61" s="207">
        <v>39</v>
      </c>
      <c r="G61" s="207"/>
      <c r="H61" s="208">
        <f>F61</f>
        <v>39</v>
      </c>
      <c r="I61" s="208">
        <f>H61+E61*2</f>
        <v>41</v>
      </c>
      <c r="J61" s="30">
        <f>6500*I61</f>
        <v>266500</v>
      </c>
      <c r="K61" s="30">
        <f>3200*H61</f>
        <v>124800</v>
      </c>
      <c r="L61" s="49"/>
      <c r="M61" s="43">
        <f>J61+K61</f>
        <v>391300</v>
      </c>
    </row>
    <row r="62" spans="1:13">
      <c r="A62" s="7"/>
      <c r="B62" s="58" t="s">
        <v>138</v>
      </c>
      <c r="C62" s="53"/>
      <c r="D62" s="53"/>
      <c r="E62" s="53"/>
      <c r="F62" s="53"/>
      <c r="G62" s="53"/>
      <c r="H62" s="54"/>
      <c r="I62" s="54"/>
      <c r="J62" s="55"/>
      <c r="K62" s="54"/>
      <c r="L62" s="56">
        <v>1</v>
      </c>
      <c r="M62" s="57">
        <f>43200*L62</f>
        <v>43200</v>
      </c>
    </row>
    <row r="63" spans="1:13">
      <c r="A63" s="52"/>
      <c r="B63" s="58" t="s">
        <v>137</v>
      </c>
      <c r="C63" s="53"/>
      <c r="D63" s="53"/>
      <c r="E63" s="53"/>
      <c r="F63" s="53"/>
      <c r="G63" s="53"/>
      <c r="H63" s="54"/>
      <c r="I63" s="54"/>
      <c r="J63" s="55"/>
      <c r="K63" s="54"/>
      <c r="L63" s="56"/>
      <c r="M63" s="57">
        <f>43200*L63</f>
        <v>0</v>
      </c>
    </row>
    <row r="64" spans="1:13" ht="13.5" thickBot="1">
      <c r="A64" s="51"/>
      <c r="B64" s="42" t="s">
        <v>54</v>
      </c>
      <c r="C64" s="42">
        <f>C8+C13+C28+C33+C60</f>
        <v>37</v>
      </c>
      <c r="D64" s="42">
        <f>D8+D13+D20+D22+D24+D26+D28+D31+D33+D37+D39+D44+D47+D49+D52+D54+D56+D58</f>
        <v>190</v>
      </c>
      <c r="E64" s="42">
        <f>E8+E13+E20+E22+E24+E26+E28+E31+E33+E37+E39+E44+E47+E49+E52+E54+E56+E58+E60</f>
        <v>227</v>
      </c>
      <c r="F64" s="42">
        <f>F8+F13+F28+F33+F60</f>
        <v>680</v>
      </c>
      <c r="G64" s="42">
        <f>G8+G13+G20+G22+G24+G26+G28+G31+G33+G37+G39+G44+G47+G49+G52+G54+G56+G58</f>
        <v>3277</v>
      </c>
      <c r="H64" s="42">
        <f>H8+H13+H20+H22+H24+H26+H28+H31+H33+H37+H39+H44+H47+H49+H52+H54+H56+H58+H60</f>
        <v>3957</v>
      </c>
      <c r="I64" s="42">
        <f>I8+I13+I20+I22+I24+I26+I28+I31+I33+I37+I39+I44+I47+I49+I52+I54+I56+I58+I60</f>
        <v>4194</v>
      </c>
      <c r="J64" s="42">
        <f>J8+J13+J20+J22+J24+J26+J28+J31+J33+J37+J39+J44+J47+J49+J52+J54+J56+J58</f>
        <v>14205900</v>
      </c>
      <c r="K64" s="42">
        <f>K8+K13+K20+K22+K24+K26+K28+K31+K33+K37+K39+K44+K47+K49+K52+K54+K56+K58</f>
        <v>3113600</v>
      </c>
      <c r="L64" s="50"/>
      <c r="M64" s="42">
        <f>M8+M13+M20+M22+M24+M26+M28+M31+M33+M37+M39+M44+M47+M49+M52+M54+M56+M58+M60+M65+M66</f>
        <v>17784000</v>
      </c>
    </row>
    <row r="65" spans="2:13" ht="14.25" thickTop="1" thickBot="1">
      <c r="D65" s="337"/>
      <c r="E65" s="337"/>
      <c r="J65" s="115"/>
      <c r="K65" s="149" t="s">
        <v>96</v>
      </c>
      <c r="L65" s="147"/>
      <c r="M65" s="149">
        <f>20000*L65</f>
        <v>0</v>
      </c>
    </row>
    <row r="66" spans="2:13" ht="13.5" thickTop="1">
      <c r="B66" s="146"/>
      <c r="C66" s="147" t="s">
        <v>141</v>
      </c>
      <c r="D66" s="338" t="s">
        <v>45</v>
      </c>
      <c r="E66" s="339"/>
      <c r="F66" s="147" t="s">
        <v>142</v>
      </c>
      <c r="G66" s="148" t="s">
        <v>143</v>
      </c>
      <c r="H66" s="119"/>
      <c r="J66" s="116"/>
      <c r="K66" s="150" t="s">
        <v>97</v>
      </c>
      <c r="L66" s="151">
        <v>2</v>
      </c>
      <c r="M66" s="150">
        <f>15000*L66</f>
        <v>30000</v>
      </c>
    </row>
    <row r="67" spans="2:13">
      <c r="B67" s="144" t="s">
        <v>74</v>
      </c>
      <c r="C67" s="131">
        <f>F67+G67</f>
        <v>14</v>
      </c>
      <c r="D67" s="340">
        <f>C67*25000</f>
        <v>350000</v>
      </c>
      <c r="E67" s="341"/>
      <c r="F67" s="131"/>
      <c r="G67" s="145">
        <v>14</v>
      </c>
      <c r="H67" s="119"/>
      <c r="K67" s="97" t="s">
        <v>32</v>
      </c>
      <c r="L67" s="234">
        <f>L65+L66</f>
        <v>2</v>
      </c>
    </row>
    <row r="68" spans="2:13" ht="13.5" thickBot="1">
      <c r="B68" s="120" t="s">
        <v>75</v>
      </c>
      <c r="C68" s="131">
        <f t="shared" ref="C68:C74" si="20">F68+G68</f>
        <v>11</v>
      </c>
      <c r="D68" s="342">
        <f>C68*30000</f>
        <v>330000</v>
      </c>
      <c r="E68" s="343"/>
      <c r="F68" s="122">
        <v>7</v>
      </c>
      <c r="G68" s="139">
        <v>4</v>
      </c>
      <c r="H68" s="135"/>
      <c r="I68" s="102"/>
      <c r="J68" s="102"/>
      <c r="L68" s="234"/>
    </row>
    <row r="69" spans="2:13">
      <c r="B69" s="120" t="s">
        <v>76</v>
      </c>
      <c r="C69" s="131">
        <f t="shared" si="20"/>
        <v>15</v>
      </c>
      <c r="D69" s="329">
        <f>C69*35000</f>
        <v>525000</v>
      </c>
      <c r="E69" s="330"/>
      <c r="F69" s="121">
        <v>7</v>
      </c>
      <c r="G69" s="138">
        <v>8</v>
      </c>
      <c r="H69" s="135"/>
      <c r="I69" s="97"/>
      <c r="K69" s="106" t="s">
        <v>129</v>
      </c>
      <c r="L69" s="107" t="s">
        <v>130</v>
      </c>
      <c r="M69" s="108" t="s">
        <v>131</v>
      </c>
    </row>
    <row r="70" spans="2:13">
      <c r="B70" s="120" t="s">
        <v>77</v>
      </c>
      <c r="C70" s="131">
        <f t="shared" si="20"/>
        <v>25</v>
      </c>
      <c r="D70" s="329">
        <f>C70*20000</f>
        <v>500000</v>
      </c>
      <c r="E70" s="330"/>
      <c r="F70" s="121">
        <v>11</v>
      </c>
      <c r="G70" s="138">
        <v>14</v>
      </c>
      <c r="H70" s="135"/>
      <c r="I70" s="97"/>
      <c r="K70" s="109" t="s">
        <v>132</v>
      </c>
      <c r="L70" s="163">
        <f>C77</f>
        <v>55.5</v>
      </c>
      <c r="M70" s="110">
        <f>D77</f>
        <v>1935720</v>
      </c>
    </row>
    <row r="71" spans="2:13">
      <c r="B71" s="120" t="s">
        <v>78</v>
      </c>
      <c r="C71" s="131">
        <f t="shared" si="20"/>
        <v>0</v>
      </c>
      <c r="D71" s="329">
        <f>C71*45000</f>
        <v>0</v>
      </c>
      <c r="E71" s="330"/>
      <c r="F71" s="121"/>
      <c r="G71" s="138"/>
      <c r="H71" s="135"/>
      <c r="I71" s="98"/>
      <c r="K71" s="111" t="s">
        <v>133</v>
      </c>
      <c r="L71" s="121">
        <f>C78+C79</f>
        <v>130</v>
      </c>
      <c r="M71" s="112">
        <f>D78+D79</f>
        <v>1606000</v>
      </c>
    </row>
    <row r="72" spans="2:13" ht="13.5" thickBot="1">
      <c r="B72" s="120" t="s">
        <v>92</v>
      </c>
      <c r="C72" s="131">
        <f t="shared" si="20"/>
        <v>0</v>
      </c>
      <c r="D72" s="329">
        <f>C72*25000</f>
        <v>0</v>
      </c>
      <c r="E72" s="330"/>
      <c r="F72" s="123"/>
      <c r="G72" s="140"/>
      <c r="H72" s="136"/>
      <c r="I72" s="98"/>
      <c r="K72" s="113" t="s">
        <v>134</v>
      </c>
      <c r="L72" s="164">
        <v>42</v>
      </c>
      <c r="M72" s="114">
        <f>L72*20000</f>
        <v>840000</v>
      </c>
    </row>
    <row r="73" spans="2:13">
      <c r="B73" s="120" t="s">
        <v>123</v>
      </c>
      <c r="C73" s="131">
        <f t="shared" si="20"/>
        <v>0</v>
      </c>
      <c r="D73" s="329">
        <f>C73*60000</f>
        <v>0</v>
      </c>
      <c r="E73" s="330"/>
      <c r="F73" s="123"/>
      <c r="G73" s="140"/>
      <c r="H73" s="100"/>
      <c r="I73" s="97"/>
      <c r="K73" s="118" t="s">
        <v>139</v>
      </c>
      <c r="L73" s="165">
        <f>L67+L72</f>
        <v>44</v>
      </c>
    </row>
    <row r="74" spans="2:13">
      <c r="B74" s="120" t="s">
        <v>124</v>
      </c>
      <c r="C74" s="131">
        <f t="shared" si="20"/>
        <v>0</v>
      </c>
      <c r="D74" s="349">
        <f>C74*30000</f>
        <v>0</v>
      </c>
      <c r="E74" s="350"/>
      <c r="F74" s="124"/>
      <c r="G74" s="141"/>
      <c r="H74" s="137"/>
      <c r="I74" s="99"/>
      <c r="J74" s="101"/>
      <c r="K74" s="116"/>
      <c r="L74" s="117"/>
    </row>
    <row r="75" spans="2:13">
      <c r="B75" s="166" t="s">
        <v>159</v>
      </c>
      <c r="C75" s="121">
        <f>F75</f>
        <v>1</v>
      </c>
      <c r="D75" s="329">
        <v>105280</v>
      </c>
      <c r="E75" s="330"/>
      <c r="F75" s="121">
        <v>1</v>
      </c>
      <c r="G75" s="138"/>
      <c r="H75" s="173"/>
      <c r="M75" s="32"/>
    </row>
    <row r="76" spans="2:13" ht="13.5" thickBot="1">
      <c r="B76" s="166" t="s">
        <v>160</v>
      </c>
      <c r="C76" s="167">
        <f>G76</f>
        <v>2</v>
      </c>
      <c r="D76" s="351">
        <v>125440</v>
      </c>
      <c r="E76" s="352"/>
      <c r="F76" s="128"/>
      <c r="G76" s="142">
        <v>2</v>
      </c>
      <c r="H76" s="119"/>
      <c r="J76" s="32"/>
    </row>
    <row r="77" spans="2:13" ht="14.25" thickTop="1" thickBot="1">
      <c r="B77" s="132" t="s">
        <v>54</v>
      </c>
      <c r="C77" s="160">
        <f>C67+C68+C69+(C70/2)+C71+(C72/2)+C73+(C74/2)+C75+C76</f>
        <v>55.5</v>
      </c>
      <c r="D77" s="344">
        <f>SUM(D67:E76)</f>
        <v>1935720</v>
      </c>
      <c r="E77" s="345"/>
      <c r="F77" s="133"/>
      <c r="G77" s="134"/>
      <c r="H77" s="119"/>
    </row>
    <row r="78" spans="2:13" ht="13.5" thickTop="1">
      <c r="B78" s="129" t="s">
        <v>144</v>
      </c>
      <c r="C78" s="131">
        <v>34</v>
      </c>
      <c r="D78" s="346">
        <v>367000</v>
      </c>
      <c r="E78" s="347"/>
      <c r="F78" s="130"/>
      <c r="G78" s="143"/>
      <c r="H78" s="119"/>
      <c r="J78" s="32"/>
      <c r="M78" s="32"/>
    </row>
    <row r="79" spans="2:13" ht="13.5" thickBot="1">
      <c r="B79" s="125" t="s">
        <v>145</v>
      </c>
      <c r="C79" s="162">
        <v>96</v>
      </c>
      <c r="D79" s="348">
        <v>1239000</v>
      </c>
      <c r="E79" s="348"/>
      <c r="F79" s="126"/>
      <c r="G79" s="127"/>
      <c r="H79" s="119"/>
      <c r="J79" t="s">
        <v>72</v>
      </c>
    </row>
    <row r="80" spans="2:13" ht="13.5" thickTop="1"/>
  </sheetData>
  <mergeCells count="28">
    <mergeCell ref="D78:E78"/>
    <mergeCell ref="D79:E79"/>
    <mergeCell ref="D69:E69"/>
    <mergeCell ref="D70:E70"/>
    <mergeCell ref="D75:E75"/>
    <mergeCell ref="D76:E76"/>
    <mergeCell ref="D77:E77"/>
    <mergeCell ref="D71:E71"/>
    <mergeCell ref="D72:E72"/>
    <mergeCell ref="D73:E73"/>
    <mergeCell ref="D74:E74"/>
    <mergeCell ref="D65:E65"/>
    <mergeCell ref="D66:E66"/>
    <mergeCell ref="D67:E67"/>
    <mergeCell ref="D68:E68"/>
    <mergeCell ref="A5:M5"/>
    <mergeCell ref="C6:E6"/>
    <mergeCell ref="F6:I6"/>
    <mergeCell ref="J6:J7"/>
    <mergeCell ref="K6:K7"/>
    <mergeCell ref="L6:L7"/>
    <mergeCell ref="M6:M7"/>
    <mergeCell ref="A4:M4"/>
    <mergeCell ref="A1:C1"/>
    <mergeCell ref="D1:M1"/>
    <mergeCell ref="A2:C2"/>
    <mergeCell ref="D2:M2"/>
    <mergeCell ref="A3:C3"/>
  </mergeCells>
  <phoneticPr fontId="9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BC SỞ GTVT </vt:lpstr>
      <vt:lpstr>BC P-KHDT</vt:lpstr>
      <vt:lpstr>BÁO CÁO THÁNG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  <vt:lpstr>'BC P-KHDT'!Print_Titles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Nguyen Truong</cp:lastModifiedBy>
  <cp:lastPrinted>2013-05-09T03:43:11Z</cp:lastPrinted>
  <dcterms:created xsi:type="dcterms:W3CDTF">2011-02-18T03:47:25Z</dcterms:created>
  <dcterms:modified xsi:type="dcterms:W3CDTF">2013-05-09T03:51:21Z</dcterms:modified>
</cp:coreProperties>
</file>