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repos\TD1-MiniLab\docs\"/>
    </mc:Choice>
  </mc:AlternateContent>
  <xr:revisionPtr revIDLastSave="0" documentId="13_ncr:1_{7D28C331-B10E-4CFB-B334-D5F9987277F2}" xr6:coauthVersionLast="47" xr6:coauthVersionMax="47" xr10:uidLastSave="{00000000-0000-0000-0000-000000000000}"/>
  <bookViews>
    <workbookView xWindow="-120" yWindow="-120" windowWidth="29040" windowHeight="15720" activeTab="1" xr2:uid="{E1972513-9427-4164-8C6E-A4A02580A20D}"/>
  </bookViews>
  <sheets>
    <sheet name="minilab" sheetId="3" r:id="rId1"/>
    <sheet name="reportes" sheetId="4" r:id="rId2"/>
  </sheets>
  <definedNames>
    <definedName name="DatosExternos_1" localSheetId="0" hidden="1">minilab!$A$1:$D$31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6" i="3" l="1"/>
  <c r="J25" i="3"/>
  <c r="J24" i="3"/>
  <c r="J29" i="3"/>
  <c r="J28" i="3"/>
  <c r="J27" i="3"/>
  <c r="J9" i="3"/>
  <c r="J8" i="3"/>
  <c r="J3" i="3"/>
  <c r="J2" i="3"/>
  <c r="M3" i="4"/>
  <c r="E5" i="4"/>
  <c r="J4" i="3"/>
  <c r="K26" i="3"/>
  <c r="L26" i="3" s="1"/>
  <c r="K25" i="3"/>
  <c r="L25" i="3" s="1"/>
  <c r="K24" i="3"/>
  <c r="L24" i="3" s="1"/>
  <c r="K29" i="3"/>
  <c r="L29" i="3" s="1"/>
  <c r="K2" i="3"/>
  <c r="L2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7" i="3"/>
  <c r="L27" i="3" s="1"/>
  <c r="K28" i="3"/>
  <c r="L28" i="3" s="1"/>
  <c r="K30" i="3"/>
  <c r="L30" i="3" s="1"/>
  <c r="K31" i="3"/>
  <c r="L31" i="3" s="1"/>
  <c r="E22" i="3"/>
  <c r="I22" i="3" s="1"/>
  <c r="I19" i="3"/>
  <c r="E2" i="3"/>
  <c r="I2" i="3" s="1"/>
  <c r="E3" i="3"/>
  <c r="I3" i="3" s="1"/>
  <c r="E4" i="3"/>
  <c r="I4" i="3" s="1"/>
  <c r="E5" i="3"/>
  <c r="I5" i="3" s="1"/>
  <c r="E6" i="3"/>
  <c r="I6" i="3" s="1"/>
  <c r="E7" i="3"/>
  <c r="I7" i="3" s="1"/>
  <c r="E8" i="3"/>
  <c r="I8" i="3" s="1"/>
  <c r="E9" i="3"/>
  <c r="I9" i="3" s="1"/>
  <c r="E10" i="3"/>
  <c r="I10" i="3" s="1"/>
  <c r="E11" i="3"/>
  <c r="I11" i="3" s="1"/>
  <c r="E12" i="3"/>
  <c r="I12" i="3" s="1"/>
  <c r="E13" i="3"/>
  <c r="I13" i="3" s="1"/>
  <c r="E14" i="3"/>
  <c r="I14" i="3" s="1"/>
  <c r="E15" i="3"/>
  <c r="I15" i="3" s="1"/>
  <c r="E16" i="3"/>
  <c r="I16" i="3" s="1"/>
  <c r="E17" i="3"/>
  <c r="I17" i="3" s="1"/>
  <c r="E18" i="3"/>
  <c r="I18" i="3" s="1"/>
  <c r="E20" i="3"/>
  <c r="I20" i="3" s="1"/>
  <c r="E21" i="3"/>
  <c r="I21" i="3" s="1"/>
  <c r="E23" i="3"/>
  <c r="I23" i="3" s="1"/>
  <c r="E24" i="3"/>
  <c r="I24" i="3" s="1"/>
  <c r="E25" i="3"/>
  <c r="I25" i="3" s="1"/>
  <c r="E26" i="3"/>
  <c r="I26" i="3" s="1"/>
  <c r="E27" i="3"/>
  <c r="I27" i="3" s="1"/>
  <c r="E28" i="3"/>
  <c r="I28" i="3" s="1"/>
  <c r="E29" i="3"/>
  <c r="I29" i="3" s="1"/>
  <c r="E30" i="3"/>
  <c r="I30" i="3" s="1"/>
  <c r="E31" i="3"/>
  <c r="I31" i="3" s="1"/>
  <c r="B3" i="4" l="1"/>
  <c r="B5" i="4" s="1"/>
  <c r="C3" i="4"/>
  <c r="C5" i="4" s="1"/>
  <c r="D3" i="4"/>
  <c r="D5" i="4" s="1"/>
  <c r="I3" i="4"/>
  <c r="J3" i="4"/>
  <c r="K3" i="4"/>
  <c r="L3" i="4"/>
  <c r="N3" i="4"/>
  <c r="L32" i="3"/>
  <c r="C7" i="4" l="1"/>
  <c r="C9" i="4" s="1"/>
  <c r="B7" i="4"/>
  <c r="E7" i="4"/>
  <c r="E9" i="4" s="1"/>
  <c r="D7" i="4"/>
  <c r="D9" i="4" s="1"/>
  <c r="B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033722-11DE-42B9-8C4D-D12FD0510C5A}" keepAlive="1" name="Consulta - minilab" description="Conexión a la consulta 'minilab' en el libro." type="5" refreshedVersion="0" background="1">
    <dbPr connection="Provider=Microsoft.Mashup.OleDb.1;Data Source=$Workbook$;Location=minilab;Extended Properties=&quot;&quot;" command="SELECT * FROM [minilab]"/>
  </connection>
  <connection id="2" xr16:uid="{F0FAEB8B-30A3-42CF-8C5D-3865E4D45ECC}" keepAlive="1" name="Consulta - minilab (2)" description="Conexión a la consulta 'minilab (2)' en el libro." type="5" refreshedVersion="7" background="1" saveData="1">
    <dbPr connection="Provider=Microsoft.Mashup.OleDb.1;Data Source=$Workbook$;Location=&quot;minilab (2)&quot;;Extended Properties=&quot;&quot;" command="SELECT * FROM [minilab (2)]"/>
  </connection>
</connections>
</file>

<file path=xl/sharedStrings.xml><?xml version="1.0" encoding="utf-8"?>
<sst xmlns="http://schemas.openxmlformats.org/spreadsheetml/2006/main" count="147" uniqueCount="68">
  <si>
    <t>Item</t>
  </si>
  <si>
    <t>100nF</t>
  </si>
  <si>
    <t>470nF</t>
  </si>
  <si>
    <t>10uF</t>
  </si>
  <si>
    <t>100uF</t>
  </si>
  <si>
    <t>1N4007</t>
  </si>
  <si>
    <t>250mA</t>
  </si>
  <si>
    <t>10k</t>
  </si>
  <si>
    <t>2k7</t>
  </si>
  <si>
    <t>470</t>
  </si>
  <si>
    <t>1M</t>
  </si>
  <si>
    <t>SW_SPDT</t>
  </si>
  <si>
    <t>NE555P</t>
  </si>
  <si>
    <t>L7805</t>
  </si>
  <si>
    <t>Componente</t>
  </si>
  <si>
    <t>Cap. Electrolítico 16V</t>
  </si>
  <si>
    <t>Cap. Cerámico 50V</t>
  </si>
  <si>
    <t>Fusible 20mm</t>
  </si>
  <si>
    <t>Portafusible p/gab</t>
  </si>
  <si>
    <t>Resistencia 1/4 W</t>
  </si>
  <si>
    <t>LED 5mm Rojo</t>
  </si>
  <si>
    <t>LED 5mm Azul</t>
  </si>
  <si>
    <t>C. Integrado</t>
  </si>
  <si>
    <t>CD4069</t>
  </si>
  <si>
    <t>Switch Palanca ON/ON</t>
  </si>
  <si>
    <t>Conector Bornera 3 Pos. 5.08mm</t>
  </si>
  <si>
    <t>Enchufe Bornera 3 Pos. 5.08mm</t>
  </si>
  <si>
    <t>Diodo Rectificador</t>
  </si>
  <si>
    <t>USB Tipo B Hembra</t>
  </si>
  <si>
    <t>Conector DC Estándar p/gab</t>
  </si>
  <si>
    <t>Disipador TO220 7W</t>
  </si>
  <si>
    <t>Zocalo DIP 8</t>
  </si>
  <si>
    <t>Zocalo DIP 14</t>
  </si>
  <si>
    <t>Cantidad</t>
  </si>
  <si>
    <t>Valor</t>
  </si>
  <si>
    <t>Protoboard 830 puntos</t>
  </si>
  <si>
    <t>Imanes Neodimio 5x1mm</t>
  </si>
  <si>
    <t>Potenciometro p/gabinete</t>
  </si>
  <si>
    <t>Power Bank barato 1x18650</t>
  </si>
  <si>
    <t>Cant. A armar</t>
  </si>
  <si>
    <t>Cant. Total</t>
  </si>
  <si>
    <t>ORIGENES</t>
  </si>
  <si>
    <t>QUIQUE</t>
  </si>
  <si>
    <t>Excedentes</t>
  </si>
  <si>
    <t>Conseguidos</t>
  </si>
  <si>
    <t>Costo total</t>
  </si>
  <si>
    <t>Costo c/u</t>
  </si>
  <si>
    <t>Placa Virgen 20x20</t>
  </si>
  <si>
    <t>Costo x Minilab</t>
  </si>
  <si>
    <t>Total</t>
  </si>
  <si>
    <t>PAGÓ</t>
  </si>
  <si>
    <t>ANDRES</t>
  </si>
  <si>
    <t>JUAN S</t>
  </si>
  <si>
    <t>SW_DPDT</t>
  </si>
  <si>
    <t>KF33</t>
  </si>
  <si>
    <t>ORIGEN</t>
  </si>
  <si>
    <t>ELECTRO</t>
  </si>
  <si>
    <t>ALFA</t>
  </si>
  <si>
    <t>GAL. NORTE</t>
  </si>
  <si>
    <t>TODOMICRO</t>
  </si>
  <si>
    <t>IMANES ARG</t>
  </si>
  <si>
    <t>JUAN M</t>
  </si>
  <si>
    <t>Puso Totál</t>
  </si>
  <si>
    <t>Giros in-situ</t>
  </si>
  <si>
    <t>Balance Total 27/3</t>
  </si>
  <si>
    <t>Resta del valor del MINILAB</t>
  </si>
  <si>
    <t>Balance total considerando costo</t>
  </si>
  <si>
    <t>Gastado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</si>
</sst>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2C0A]\ #,##0.00"/>
    <numFmt numFmtId="166" formatCode="[$$-2C0A]\ #,##0.00;[Red]\-[$$-2C0A]\ 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6" fontId="0" fillId="0" borderId="0" xfId="0" applyNumberFormat="1"/>
    <xf numFmtId="0" fontId="2" fillId="0" borderId="1" xfId="0" applyFont="1" applyBorder="1"/>
    <xf numFmtId="166" fontId="2" fillId="0" borderId="2" xfId="0" applyNumberFormat="1" applyFont="1" applyBorder="1"/>
    <xf numFmtId="166" fontId="2" fillId="0" borderId="3" xfId="0" applyNumberFormat="1" applyFont="1" applyBorder="1"/>
  </cellXfs>
  <cellStyles count="1">
    <cellStyle name="Normal" xfId="0" builtinId="0"/>
  </cellStyles>
  <dxfs count="8">
    <dxf>
      <numFmt numFmtId="164" formatCode="[$$-2C0A]\ #,##0.00"/>
    </dxf>
    <dxf>
      <numFmt numFmtId="164" formatCode="[$$-2C0A]\ #,##0.00"/>
    </dxf>
    <dxf>
      <numFmt numFmtId="164" formatCode="[$$-2C0A]\ #,##0.00"/>
    </dxf>
    <dxf>
      <numFmt numFmtId="164" formatCode="[$$-2C0A]\ #,##0.00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1BE063E-44ED-496D-A54B-6B20D0063D9B}" autoFormatId="16" applyNumberFormats="0" applyBorderFormats="0" applyFontFormats="0" applyPatternFormats="0" applyAlignmentFormats="0" applyWidthHeightFormats="0">
  <queryTableRefresh nextId="18" unboundColumnsRight="8">
    <queryTableFields count="12">
      <queryTableField id="1" name="Item" tableColumnId="1"/>
      <queryTableField id="2" name="Qty" tableColumnId="2"/>
      <queryTableField id="8" dataBound="0" tableColumnId="8"/>
      <queryTableField id="4" name="Value" tableColumnId="4"/>
      <queryTableField id="9" dataBound="0" tableColumnId="9"/>
      <queryTableField id="17" dataBound="0" tableColumnId="3"/>
      <queryTableField id="10" dataBound="0" tableColumnId="10"/>
      <queryTableField id="11" dataBound="0" tableColumnId="11"/>
      <queryTableField id="12" dataBound="0" tableColumnId="12"/>
      <queryTableField id="14" dataBound="0" tableColumnId="14"/>
      <queryTableField id="13" dataBound="0" tableColumnId="13"/>
      <queryTableField id="16" dataBound="0" tableColumnId="15"/>
    </queryTableFields>
    <queryTableDeletedFields count="4">
      <deletedField name="LibPart"/>
      <deletedField name="Datasheet"/>
      <deletedField name="Reference(s)"/>
      <deletedField name="Footprin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F70FC2-1E1D-4746-9729-C9976CBACED3}" name="minilab3" displayName="minilab3" ref="A1:L32" tableType="queryTable" totalsRowCount="1">
  <autoFilter ref="A1:L31" xr:uid="{7AF70FC2-1E1D-4746-9729-C9976CBACED3}"/>
  <sortState xmlns:xlrd2="http://schemas.microsoft.com/office/spreadsheetml/2017/richdata2" ref="A2:D31">
    <sortCondition ref="C1:C31"/>
  </sortState>
  <tableColumns count="12">
    <tableColumn id="1" xr3:uid="{03D1CBE3-560E-48FC-BD58-187AFDE6ADBD}" uniqueName="1" name="Item" totalsRowLabel="Total" queryTableFieldId="1"/>
    <tableColumn id="2" xr3:uid="{8C13503C-A3D9-4351-984C-FA4F2EDEA133}" uniqueName="2" name="Cantidad" queryTableFieldId="2"/>
    <tableColumn id="8" xr3:uid="{7D8BB3F4-6AB4-4AE2-9FA4-B7A72BF308F8}" uniqueName="8" name="Componente" queryTableFieldId="8"/>
    <tableColumn id="4" xr3:uid="{FA7F7653-9F6B-4BB8-86E6-B99592DD8368}" uniqueName="4" name="Valor" queryTableFieldId="4" dataDxfId="6"/>
    <tableColumn id="9" xr3:uid="{BD26F3FD-0D39-4F62-BB44-70938777CF87}" uniqueName="9" name="Cant. Total" queryTableFieldId="9" dataDxfId="5">
      <calculatedColumnFormula>minilab3[[#This Row],[Cantidad]]*$P$8</calculatedColumnFormula>
    </tableColumn>
    <tableColumn id="3" xr3:uid="{F49E1D94-F483-4CBB-966F-F2AB20950AD3}" uniqueName="3" name="ORIGEN" queryTableFieldId="17"/>
    <tableColumn id="10" xr3:uid="{B239259F-28AC-440D-A659-8FA5E60ABCE5}" uniqueName="10" name="PAGÓ" queryTableFieldId="10"/>
    <tableColumn id="11" xr3:uid="{D574F05A-37FD-4C34-93AC-008AB506B727}" uniqueName="11" name="Conseguidos" queryTableFieldId="11"/>
    <tableColumn id="12" xr3:uid="{81D205D7-02D5-42BC-973D-42416AEFD777}" uniqueName="12" name="Excedentes" queryTableFieldId="12" dataDxfId="4">
      <calculatedColumnFormula>IF(minilab3[[#This Row],[Conseguidos]]&gt;=minilab3[[#This Row],[Cant. Total]],minilab3[[#This Row],[Conseguidos]]-minilab3[[#This Row],[Cant. Total]],0)</calculatedColumnFormula>
    </tableColumn>
    <tableColumn id="14" xr3:uid="{374B498D-E662-4D7D-B292-A814DDB6009E}" uniqueName="14" name="Costo c/u" queryTableFieldId="14" dataDxfId="3"/>
    <tableColumn id="13" xr3:uid="{C4A6E47D-3B94-4046-9B02-8F44BAAF59C8}" uniqueName="13" name="Costo total" queryTableFieldId="13" dataDxfId="2">
      <calculatedColumnFormula>minilab3[[#This Row],[Costo c/u]]*minilab3[[#This Row],[Conseguidos]]</calculatedColumnFormula>
    </tableColumn>
    <tableColumn id="15" xr3:uid="{03CC62E7-235A-4832-9350-5A8E20A05B53}" uniqueName="15" name="Costo x Minilab" totalsRowFunction="sum" queryTableFieldId="16" dataDxfId="1" totalsRowDxfId="0">
      <calculatedColumnFormula>minilab3[[#This Row],[Costo total]]/$P$8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6796-E537-4B75-A19E-F3A12058191C}">
  <dimension ref="A1:S32"/>
  <sheetViews>
    <sheetView workbookViewId="0">
      <selection activeCell="E35" sqref="E35"/>
    </sheetView>
  </sheetViews>
  <sheetFormatPr baseColWidth="10" defaultRowHeight="15" x14ac:dyDescent="0.25"/>
  <cols>
    <col min="1" max="1" width="7.42578125" bestFit="1" customWidth="1"/>
    <col min="2" max="2" width="11.140625" bestFit="1" customWidth="1"/>
    <col min="3" max="3" width="29.85546875" bestFit="1" customWidth="1"/>
    <col min="4" max="4" width="12.140625" customWidth="1"/>
    <col min="5" max="5" width="12.7109375" bestFit="1" customWidth="1"/>
    <col min="6" max="6" width="15.5703125" customWidth="1"/>
    <col min="8" max="8" width="15.140625" customWidth="1"/>
    <col min="9" max="9" width="16.28515625" customWidth="1"/>
    <col min="10" max="10" width="15.85546875" customWidth="1"/>
    <col min="11" max="11" width="17.140625" customWidth="1"/>
    <col min="12" max="12" width="20.85546875" customWidth="1"/>
    <col min="15" max="15" width="16.140625" customWidth="1"/>
    <col min="16" max="16" width="8.85546875" customWidth="1"/>
    <col min="19" max="19" width="15.7109375" customWidth="1"/>
  </cols>
  <sheetData>
    <row r="1" spans="1:19" x14ac:dyDescent="0.25">
      <c r="A1" t="s">
        <v>0</v>
      </c>
      <c r="B1" t="s">
        <v>33</v>
      </c>
      <c r="C1" t="s">
        <v>14</v>
      </c>
      <c r="D1" t="s">
        <v>34</v>
      </c>
      <c r="E1" t="s">
        <v>40</v>
      </c>
      <c r="F1" t="s">
        <v>55</v>
      </c>
      <c r="G1" t="s">
        <v>50</v>
      </c>
      <c r="H1" t="s">
        <v>44</v>
      </c>
      <c r="I1" t="s">
        <v>43</v>
      </c>
      <c r="J1" t="s">
        <v>46</v>
      </c>
      <c r="K1" t="s">
        <v>45</v>
      </c>
      <c r="L1" t="s">
        <v>48</v>
      </c>
    </row>
    <row r="2" spans="1:19" x14ac:dyDescent="0.25">
      <c r="A2">
        <v>1</v>
      </c>
      <c r="B2">
        <v>1</v>
      </c>
      <c r="C2" t="s">
        <v>22</v>
      </c>
      <c r="D2" s="1" t="s">
        <v>12</v>
      </c>
      <c r="E2">
        <f>minilab3[[#This Row],[Cantidad]]*$P$8</f>
        <v>4</v>
      </c>
      <c r="F2" t="s">
        <v>56</v>
      </c>
      <c r="G2" t="s">
        <v>42</v>
      </c>
      <c r="H2">
        <v>6</v>
      </c>
      <c r="I2">
        <f>IF(minilab3[[#This Row],[Conseguidos]]&gt;=minilab3[[#This Row],[Cant. Total]],minilab3[[#This Row],[Conseguidos]]-minilab3[[#This Row],[Cant. Total]],0)</f>
        <v>2</v>
      </c>
      <c r="J2" s="3">
        <f>189.189*1.105</f>
        <v>209.053845</v>
      </c>
      <c r="K2" s="3">
        <f>minilab3[[#This Row],[Costo c/u]]*minilab3[[#This Row],[Conseguidos]]</f>
        <v>1254.3230699999999</v>
      </c>
      <c r="L2" s="3">
        <f>minilab3[[#This Row],[Costo total]]/$P$8</f>
        <v>313.58076749999998</v>
      </c>
    </row>
    <row r="3" spans="1:19" x14ac:dyDescent="0.25">
      <c r="A3">
        <v>2</v>
      </c>
      <c r="B3">
        <v>1</v>
      </c>
      <c r="C3" t="s">
        <v>22</v>
      </c>
      <c r="D3" s="1" t="s">
        <v>13</v>
      </c>
      <c r="E3">
        <f>minilab3[[#This Row],[Cantidad]]*$P$8</f>
        <v>4</v>
      </c>
      <c r="F3" t="s">
        <v>56</v>
      </c>
      <c r="G3" t="s">
        <v>42</v>
      </c>
      <c r="H3">
        <v>4</v>
      </c>
      <c r="I3">
        <f>IF(minilab3[[#This Row],[Conseguidos]]&gt;=minilab3[[#This Row],[Cant. Total]],minilab3[[#This Row],[Conseguidos]]-minilab3[[#This Row],[Cant. Total]],0)</f>
        <v>0</v>
      </c>
      <c r="J3" s="3">
        <f>36.96*1.105</f>
        <v>40.840800000000002</v>
      </c>
      <c r="K3" s="3">
        <f>minilab3[[#This Row],[Costo c/u]]*minilab3[[#This Row],[Conseguidos]]</f>
        <v>163.36320000000001</v>
      </c>
      <c r="L3" s="3">
        <f>minilab3[[#This Row],[Costo total]]/$P$8</f>
        <v>40.840800000000002</v>
      </c>
    </row>
    <row r="4" spans="1:19" x14ac:dyDescent="0.25">
      <c r="A4">
        <v>3</v>
      </c>
      <c r="B4">
        <v>1</v>
      </c>
      <c r="C4" t="s">
        <v>22</v>
      </c>
      <c r="D4" s="1" t="s">
        <v>54</v>
      </c>
      <c r="E4">
        <f>minilab3[[#This Row],[Cantidad]]*$P$8</f>
        <v>4</v>
      </c>
      <c r="F4" t="s">
        <v>42</v>
      </c>
      <c r="G4" t="s">
        <v>42</v>
      </c>
      <c r="H4">
        <v>4</v>
      </c>
      <c r="I4">
        <f>IF(minilab3[[#This Row],[Conseguidos]]&gt;=minilab3[[#This Row],[Cant. Total]],minilab3[[#This Row],[Conseguidos]]-minilab3[[#This Row],[Cant. Total]],0)</f>
        <v>0</v>
      </c>
      <c r="J4" s="3">
        <f>36.96*1.105</f>
        <v>40.840800000000002</v>
      </c>
      <c r="K4" s="3">
        <f>minilab3[[#This Row],[Costo c/u]]*minilab3[[#This Row],[Conseguidos]]</f>
        <v>163.36320000000001</v>
      </c>
      <c r="L4" s="3">
        <f>minilab3[[#This Row],[Costo total]]/$P$8</f>
        <v>40.840800000000002</v>
      </c>
    </row>
    <row r="5" spans="1:19" x14ac:dyDescent="0.25">
      <c r="A5">
        <v>4</v>
      </c>
      <c r="B5">
        <v>2</v>
      </c>
      <c r="C5" t="s">
        <v>22</v>
      </c>
      <c r="D5" s="1" t="s">
        <v>23</v>
      </c>
      <c r="E5">
        <f>minilab3[[#This Row],[Cantidad]]*$P$8</f>
        <v>8</v>
      </c>
      <c r="F5" t="s">
        <v>57</v>
      </c>
      <c r="G5" t="s">
        <v>51</v>
      </c>
      <c r="H5">
        <v>12</v>
      </c>
      <c r="I5">
        <f>IF(minilab3[[#This Row],[Conseguidos]]&gt;=minilab3[[#This Row],[Cant. Total]],minilab3[[#This Row],[Conseguidos]]-minilab3[[#This Row],[Cant. Total]],0)</f>
        <v>4</v>
      </c>
      <c r="J5" s="3">
        <v>109.2</v>
      </c>
      <c r="K5" s="3">
        <f>minilab3[[#This Row],[Costo c/u]]*minilab3[[#This Row],[Conseguidos]]</f>
        <v>1310.4000000000001</v>
      </c>
      <c r="L5" s="3">
        <f>minilab3[[#This Row],[Costo total]]/$P$8</f>
        <v>327.60000000000002</v>
      </c>
    </row>
    <row r="6" spans="1:19" x14ac:dyDescent="0.25">
      <c r="A6">
        <v>5</v>
      </c>
      <c r="B6">
        <v>1</v>
      </c>
      <c r="C6" t="s">
        <v>16</v>
      </c>
      <c r="D6" s="1" t="s">
        <v>2</v>
      </c>
      <c r="E6">
        <f>minilab3[[#This Row],[Cantidad]]*$P$8</f>
        <v>4</v>
      </c>
      <c r="F6" t="s">
        <v>57</v>
      </c>
      <c r="G6" t="s">
        <v>51</v>
      </c>
      <c r="H6">
        <v>4</v>
      </c>
      <c r="I6">
        <f>IF(minilab3[[#This Row],[Conseguidos]]&gt;=minilab3[[#This Row],[Cant. Total]],minilab3[[#This Row],[Conseguidos]]-minilab3[[#This Row],[Cant. Total]],0)</f>
        <v>0</v>
      </c>
      <c r="J6" s="3">
        <v>18.2</v>
      </c>
      <c r="K6" s="3">
        <f>minilab3[[#This Row],[Costo c/u]]*minilab3[[#This Row],[Conseguidos]]</f>
        <v>72.8</v>
      </c>
      <c r="L6" s="3">
        <f>minilab3[[#This Row],[Costo total]]/$P$8</f>
        <v>18.2</v>
      </c>
    </row>
    <row r="7" spans="1:19" x14ac:dyDescent="0.25">
      <c r="A7">
        <v>6</v>
      </c>
      <c r="B7">
        <v>8</v>
      </c>
      <c r="C7" t="s">
        <v>16</v>
      </c>
      <c r="D7" s="1" t="s">
        <v>1</v>
      </c>
      <c r="E7">
        <f>minilab3[[#This Row],[Cantidad]]*$P$8</f>
        <v>32</v>
      </c>
      <c r="F7" t="s">
        <v>57</v>
      </c>
      <c r="G7" t="s">
        <v>51</v>
      </c>
      <c r="H7">
        <v>32</v>
      </c>
      <c r="I7">
        <f>IF(minilab3[[#This Row],[Conseguidos]]&gt;=minilab3[[#This Row],[Cant. Total]],minilab3[[#This Row],[Conseguidos]]-minilab3[[#This Row],[Cant. Total]],0)</f>
        <v>0</v>
      </c>
      <c r="J7" s="3">
        <v>7</v>
      </c>
      <c r="K7" s="3">
        <f>minilab3[[#This Row],[Costo c/u]]*minilab3[[#This Row],[Conseguidos]]</f>
        <v>224</v>
      </c>
      <c r="L7" s="3">
        <f>minilab3[[#This Row],[Costo total]]/$P$8</f>
        <v>56</v>
      </c>
      <c r="R7" t="s">
        <v>50</v>
      </c>
      <c r="S7" t="s">
        <v>41</v>
      </c>
    </row>
    <row r="8" spans="1:19" x14ac:dyDescent="0.25">
      <c r="A8">
        <v>7</v>
      </c>
      <c r="B8">
        <v>2</v>
      </c>
      <c r="C8" t="s">
        <v>15</v>
      </c>
      <c r="D8" s="1" t="s">
        <v>3</v>
      </c>
      <c r="E8">
        <f>minilab3[[#This Row],[Cantidad]]*$P$8</f>
        <v>8</v>
      </c>
      <c r="F8" t="s">
        <v>56</v>
      </c>
      <c r="G8" t="s">
        <v>42</v>
      </c>
      <c r="H8">
        <v>8</v>
      </c>
      <c r="I8">
        <f>IF(minilab3[[#This Row],[Conseguidos]]&gt;=minilab3[[#This Row],[Cant. Total]],minilab3[[#This Row],[Conseguidos]]-minilab3[[#This Row],[Cant. Total]],0)</f>
        <v>0</v>
      </c>
      <c r="J8" s="3">
        <f>3.234*1.21</f>
        <v>3.9131399999999998</v>
      </c>
      <c r="K8" s="3">
        <f>minilab3[[#This Row],[Costo c/u]]*minilab3[[#This Row],[Conseguidos]]</f>
        <v>31.305119999999999</v>
      </c>
      <c r="L8" s="3">
        <f>minilab3[[#This Row],[Costo total]]/$P$8</f>
        <v>7.8262799999999997</v>
      </c>
      <c r="O8" s="2" t="s">
        <v>39</v>
      </c>
      <c r="P8">
        <v>4</v>
      </c>
      <c r="R8" t="s">
        <v>51</v>
      </c>
      <c r="S8" t="s">
        <v>56</v>
      </c>
    </row>
    <row r="9" spans="1:19" x14ac:dyDescent="0.25">
      <c r="A9">
        <v>8</v>
      </c>
      <c r="B9">
        <v>2</v>
      </c>
      <c r="C9" t="s">
        <v>15</v>
      </c>
      <c r="D9" s="1" t="s">
        <v>4</v>
      </c>
      <c r="E9">
        <f>minilab3[[#This Row],[Cantidad]]*$P$8</f>
        <v>8</v>
      </c>
      <c r="F9" t="s">
        <v>56</v>
      </c>
      <c r="G9" t="s">
        <v>42</v>
      </c>
      <c r="H9">
        <v>8</v>
      </c>
      <c r="I9">
        <f>IF(minilab3[[#This Row],[Conseguidos]]&gt;=minilab3[[#This Row],[Cant. Total]],minilab3[[#This Row],[Conseguidos]]-minilab3[[#This Row],[Cant. Total]],0)</f>
        <v>0</v>
      </c>
      <c r="J9" s="3">
        <f>3.234*1.21</f>
        <v>3.9131399999999998</v>
      </c>
      <c r="K9" s="3">
        <f>minilab3[[#This Row],[Costo c/u]]*minilab3[[#This Row],[Conseguidos]]</f>
        <v>31.305119999999999</v>
      </c>
      <c r="L9" s="3">
        <f>minilab3[[#This Row],[Costo total]]/$P$8</f>
        <v>7.8262799999999997</v>
      </c>
      <c r="R9" t="s">
        <v>52</v>
      </c>
      <c r="S9" t="s">
        <v>57</v>
      </c>
    </row>
    <row r="10" spans="1:19" x14ac:dyDescent="0.25">
      <c r="A10">
        <v>9</v>
      </c>
      <c r="B10">
        <v>7</v>
      </c>
      <c r="C10" t="s">
        <v>25</v>
      </c>
      <c r="D10" s="1"/>
      <c r="E10">
        <f>minilab3[[#This Row],[Cantidad]]*$P$8</f>
        <v>28</v>
      </c>
      <c r="F10" t="s">
        <v>42</v>
      </c>
      <c r="G10" t="s">
        <v>42</v>
      </c>
      <c r="H10">
        <v>28</v>
      </c>
      <c r="I10">
        <f>IF(minilab3[[#This Row],[Conseguidos]]&gt;=minilab3[[#This Row],[Cant. Total]],minilab3[[#This Row],[Conseguidos]]-minilab3[[#This Row],[Cant. Total]],0)</f>
        <v>0</v>
      </c>
      <c r="J10" s="3">
        <v>85</v>
      </c>
      <c r="K10" s="3">
        <f>minilab3[[#This Row],[Costo c/u]]*minilab3[[#This Row],[Conseguidos]]</f>
        <v>2380</v>
      </c>
      <c r="L10" s="3">
        <f>minilab3[[#This Row],[Costo total]]/$P$8</f>
        <v>595</v>
      </c>
      <c r="R10" t="s">
        <v>42</v>
      </c>
      <c r="S10" t="s">
        <v>58</v>
      </c>
    </row>
    <row r="11" spans="1:19" x14ac:dyDescent="0.25">
      <c r="A11">
        <v>10</v>
      </c>
      <c r="B11">
        <v>1</v>
      </c>
      <c r="C11" t="s">
        <v>29</v>
      </c>
      <c r="D11" s="1"/>
      <c r="E11">
        <f>minilab3[[#This Row],[Cantidad]]*$P$8</f>
        <v>4</v>
      </c>
      <c r="F11" t="s">
        <v>57</v>
      </c>
      <c r="G11" t="s">
        <v>42</v>
      </c>
      <c r="H11">
        <v>4</v>
      </c>
      <c r="I11">
        <f>IF(minilab3[[#This Row],[Conseguidos]]&gt;=minilab3[[#This Row],[Cant. Total]],minilab3[[#This Row],[Conseguidos]]-minilab3[[#This Row],[Cant. Total]],0)</f>
        <v>0</v>
      </c>
      <c r="J11" s="3">
        <v>100</v>
      </c>
      <c r="K11" s="3">
        <f>minilab3[[#This Row],[Costo c/u]]*minilab3[[#This Row],[Conseguidos]]</f>
        <v>400</v>
      </c>
      <c r="L11" s="3">
        <f>minilab3[[#This Row],[Costo total]]/$P$8</f>
        <v>100</v>
      </c>
      <c r="S11" t="s">
        <v>59</v>
      </c>
    </row>
    <row r="12" spans="1:19" x14ac:dyDescent="0.25">
      <c r="A12">
        <v>11</v>
      </c>
      <c r="B12">
        <v>1</v>
      </c>
      <c r="C12" t="s">
        <v>27</v>
      </c>
      <c r="D12" s="1" t="s">
        <v>5</v>
      </c>
      <c r="E12">
        <f>minilab3[[#This Row],[Cantidad]]*$P$8</f>
        <v>4</v>
      </c>
      <c r="F12" t="s">
        <v>42</v>
      </c>
      <c r="G12" t="s">
        <v>42</v>
      </c>
      <c r="H12">
        <v>4</v>
      </c>
      <c r="I12">
        <f>IF(minilab3[[#This Row],[Conseguidos]]&gt;=minilab3[[#This Row],[Cant. Total]],minilab3[[#This Row],[Conseguidos]]-minilab3[[#This Row],[Cant. Total]],0)</f>
        <v>0</v>
      </c>
      <c r="J12" s="3">
        <v>2.5</v>
      </c>
      <c r="K12" s="3">
        <f>minilab3[[#This Row],[Costo c/u]]*minilab3[[#This Row],[Conseguidos]]</f>
        <v>10</v>
      </c>
      <c r="L12" s="3">
        <f>minilab3[[#This Row],[Costo total]]/$P$8</f>
        <v>2.5</v>
      </c>
      <c r="S12" t="s">
        <v>60</v>
      </c>
    </row>
    <row r="13" spans="1:19" x14ac:dyDescent="0.25">
      <c r="A13">
        <v>12</v>
      </c>
      <c r="B13">
        <v>1</v>
      </c>
      <c r="C13" t="s">
        <v>30</v>
      </c>
      <c r="D13" s="1"/>
      <c r="E13">
        <f>minilab3[[#This Row],[Cantidad]]*$P$8</f>
        <v>4</v>
      </c>
      <c r="F13" t="s">
        <v>42</v>
      </c>
      <c r="G13" t="s">
        <v>42</v>
      </c>
      <c r="H13">
        <v>4</v>
      </c>
      <c r="I13">
        <f>IF(minilab3[[#This Row],[Conseguidos]]&gt;=minilab3[[#This Row],[Cant. Total]],minilab3[[#This Row],[Conseguidos]]-minilab3[[#This Row],[Cant. Total]],0)</f>
        <v>0</v>
      </c>
      <c r="J13" s="3">
        <v>0</v>
      </c>
      <c r="K13" s="3">
        <f>minilab3[[#This Row],[Costo c/u]]*minilab3[[#This Row],[Conseguidos]]</f>
        <v>0</v>
      </c>
      <c r="L13" s="3">
        <f>minilab3[[#This Row],[Costo total]]/$P$8</f>
        <v>0</v>
      </c>
      <c r="S13" t="s">
        <v>42</v>
      </c>
    </row>
    <row r="14" spans="1:19" x14ac:dyDescent="0.25">
      <c r="A14">
        <v>13</v>
      </c>
      <c r="B14">
        <v>7</v>
      </c>
      <c r="C14" t="s">
        <v>26</v>
      </c>
      <c r="D14" s="1"/>
      <c r="E14">
        <f>minilab3[[#This Row],[Cantidad]]*$P$8</f>
        <v>28</v>
      </c>
      <c r="F14" t="s">
        <v>42</v>
      </c>
      <c r="G14" t="s">
        <v>42</v>
      </c>
      <c r="H14">
        <v>28</v>
      </c>
      <c r="I14">
        <f>IF(minilab3[[#This Row],[Conseguidos]]&gt;=minilab3[[#This Row],[Cant. Total]],minilab3[[#This Row],[Conseguidos]]-minilab3[[#This Row],[Cant. Total]],0)</f>
        <v>0</v>
      </c>
      <c r="J14" s="3">
        <v>25</v>
      </c>
      <c r="K14" s="3">
        <f>minilab3[[#This Row],[Costo c/u]]*minilab3[[#This Row],[Conseguidos]]</f>
        <v>700</v>
      </c>
      <c r="L14" s="3">
        <f>minilab3[[#This Row],[Costo total]]/$P$8</f>
        <v>175</v>
      </c>
    </row>
    <row r="15" spans="1:19" x14ac:dyDescent="0.25">
      <c r="A15">
        <v>14</v>
      </c>
      <c r="B15">
        <v>6</v>
      </c>
      <c r="C15" t="s">
        <v>17</v>
      </c>
      <c r="D15" s="1" t="s">
        <v>6</v>
      </c>
      <c r="E15">
        <f>minilab3[[#This Row],[Cantidad]]*$P$8</f>
        <v>24</v>
      </c>
      <c r="F15" t="s">
        <v>57</v>
      </c>
      <c r="G15" t="s">
        <v>51</v>
      </c>
      <c r="H15">
        <v>24</v>
      </c>
      <c r="I15">
        <f>IF(minilab3[[#This Row],[Conseguidos]]&gt;=minilab3[[#This Row],[Cant. Total]],minilab3[[#This Row],[Conseguidos]]-minilab3[[#This Row],[Cant. Total]],0)</f>
        <v>0</v>
      </c>
      <c r="J15" s="3">
        <v>23.8</v>
      </c>
      <c r="K15" s="3">
        <f>minilab3[[#This Row],[Costo c/u]]*minilab3[[#This Row],[Conseguidos]]</f>
        <v>571.20000000000005</v>
      </c>
      <c r="L15" s="3">
        <f>minilab3[[#This Row],[Costo total]]/$P$8</f>
        <v>142.80000000000001</v>
      </c>
    </row>
    <row r="16" spans="1:19" x14ac:dyDescent="0.25">
      <c r="A16">
        <v>15</v>
      </c>
      <c r="B16">
        <v>8</v>
      </c>
      <c r="C16" t="s">
        <v>36</v>
      </c>
      <c r="D16" s="1"/>
      <c r="E16">
        <f>minilab3[[#This Row],[Cantidad]]*$P$8</f>
        <v>32</v>
      </c>
      <c r="F16" t="s">
        <v>60</v>
      </c>
      <c r="G16" t="s">
        <v>52</v>
      </c>
      <c r="H16">
        <v>32</v>
      </c>
      <c r="I16">
        <f>IF(minilab3[[#This Row],[Conseguidos]]&gt;=minilab3[[#This Row],[Cant. Total]],minilab3[[#This Row],[Conseguidos]]-minilab3[[#This Row],[Cant. Total]],0)</f>
        <v>0</v>
      </c>
      <c r="J16" s="3">
        <v>36</v>
      </c>
      <c r="K16" s="3">
        <f>minilab3[[#This Row],[Costo c/u]]*minilab3[[#This Row],[Conseguidos]]</f>
        <v>1152</v>
      </c>
      <c r="L16" s="3">
        <f>minilab3[[#This Row],[Costo total]]/$P$8</f>
        <v>288</v>
      </c>
    </row>
    <row r="17" spans="1:12" x14ac:dyDescent="0.25">
      <c r="A17">
        <v>16</v>
      </c>
      <c r="B17">
        <v>8</v>
      </c>
      <c r="C17" t="s">
        <v>21</v>
      </c>
      <c r="D17" s="1"/>
      <c r="E17">
        <f>minilab3[[#This Row],[Cantidad]]*$P$8</f>
        <v>32</v>
      </c>
      <c r="F17" t="s">
        <v>42</v>
      </c>
      <c r="G17" t="s">
        <v>42</v>
      </c>
      <c r="H17">
        <v>32</v>
      </c>
      <c r="I17">
        <f>IF(minilab3[[#This Row],[Conseguidos]]&gt;=minilab3[[#This Row],[Cant. Total]],minilab3[[#This Row],[Conseguidos]]-minilab3[[#This Row],[Cant. Total]],0)</f>
        <v>0</v>
      </c>
      <c r="J17" s="3">
        <v>5</v>
      </c>
      <c r="K17" s="3">
        <f>minilab3[[#This Row],[Costo c/u]]*minilab3[[#This Row],[Conseguidos]]</f>
        <v>160</v>
      </c>
      <c r="L17" s="3">
        <f>minilab3[[#This Row],[Costo total]]/$P$8</f>
        <v>40</v>
      </c>
    </row>
    <row r="18" spans="1:12" x14ac:dyDescent="0.25">
      <c r="A18">
        <v>17</v>
      </c>
      <c r="B18">
        <v>3</v>
      </c>
      <c r="C18" t="s">
        <v>20</v>
      </c>
      <c r="D18" s="1"/>
      <c r="E18">
        <f>minilab3[[#This Row],[Cantidad]]*$P$8</f>
        <v>12</v>
      </c>
      <c r="F18" t="s">
        <v>42</v>
      </c>
      <c r="G18" t="s">
        <v>42</v>
      </c>
      <c r="H18">
        <v>12</v>
      </c>
      <c r="I18">
        <f>IF(minilab3[[#This Row],[Conseguidos]]&gt;=minilab3[[#This Row],[Cant. Total]],minilab3[[#This Row],[Conseguidos]]-minilab3[[#This Row],[Cant. Total]],0)</f>
        <v>0</v>
      </c>
      <c r="J18" s="3">
        <v>5</v>
      </c>
      <c r="K18" s="3">
        <f>minilab3[[#This Row],[Costo c/u]]*minilab3[[#This Row],[Conseguidos]]</f>
        <v>60</v>
      </c>
      <c r="L18" s="3">
        <f>minilab3[[#This Row],[Costo total]]/$P$8</f>
        <v>15</v>
      </c>
    </row>
    <row r="19" spans="1:12" x14ac:dyDescent="0.25">
      <c r="A19">
        <v>18</v>
      </c>
      <c r="B19">
        <v>1</v>
      </c>
      <c r="C19" t="s">
        <v>47</v>
      </c>
      <c r="D19" s="1"/>
      <c r="E19">
        <v>1</v>
      </c>
      <c r="F19" t="s">
        <v>57</v>
      </c>
      <c r="G19" t="s">
        <v>51</v>
      </c>
      <c r="H19">
        <v>1</v>
      </c>
      <c r="I19">
        <f>IF(minilab3[[#This Row],[Conseguidos]]&gt;=minilab3[[#This Row],[Cant. Total]],minilab3[[#This Row],[Conseguidos]]-minilab3[[#This Row],[Cant. Total]],0)</f>
        <v>0</v>
      </c>
      <c r="J19" s="3">
        <v>266</v>
      </c>
      <c r="K19" s="3">
        <f>minilab3[[#This Row],[Costo c/u]]*minilab3[[#This Row],[Conseguidos]]</f>
        <v>266</v>
      </c>
      <c r="L19" s="3">
        <f>minilab3[[#This Row],[Costo total]]/$P$8</f>
        <v>66.5</v>
      </c>
    </row>
    <row r="20" spans="1:12" x14ac:dyDescent="0.25">
      <c r="A20">
        <v>19</v>
      </c>
      <c r="B20">
        <v>2</v>
      </c>
      <c r="C20" t="s">
        <v>18</v>
      </c>
      <c r="D20" s="1"/>
      <c r="E20">
        <f>minilab3[[#This Row],[Cantidad]]*$P$8</f>
        <v>8</v>
      </c>
      <c r="F20" t="s">
        <v>57</v>
      </c>
      <c r="G20" t="s">
        <v>51</v>
      </c>
      <c r="H20">
        <v>8</v>
      </c>
      <c r="I20">
        <f>IF(minilab3[[#This Row],[Conseguidos]]&gt;=minilab3[[#This Row],[Cant. Total]],minilab3[[#This Row],[Conseguidos]]-minilab3[[#This Row],[Cant. Total]],0)</f>
        <v>0</v>
      </c>
      <c r="J20" s="3">
        <v>82.6</v>
      </c>
      <c r="K20" s="3">
        <f>minilab3[[#This Row],[Costo c/u]]*minilab3[[#This Row],[Conseguidos]]</f>
        <v>660.8</v>
      </c>
      <c r="L20" s="3">
        <f>minilab3[[#This Row],[Costo total]]/$P$8</f>
        <v>165.2</v>
      </c>
    </row>
    <row r="21" spans="1:12" x14ac:dyDescent="0.25">
      <c r="A21">
        <v>20</v>
      </c>
      <c r="B21">
        <v>1</v>
      </c>
      <c r="C21" t="s">
        <v>37</v>
      </c>
      <c r="D21" s="1" t="s">
        <v>10</v>
      </c>
      <c r="E21">
        <f>minilab3[[#This Row],[Cantidad]]*$P$8</f>
        <v>4</v>
      </c>
      <c r="F21" t="s">
        <v>57</v>
      </c>
      <c r="G21" t="s">
        <v>51</v>
      </c>
      <c r="H21">
        <v>4</v>
      </c>
      <c r="I21">
        <f>IF(minilab3[[#This Row],[Conseguidos]]&gt;=minilab3[[#This Row],[Cant. Total]],minilab3[[#This Row],[Conseguidos]]-minilab3[[#This Row],[Cant. Total]],0)</f>
        <v>0</v>
      </c>
      <c r="J21" s="3">
        <v>138.6</v>
      </c>
      <c r="K21" s="3">
        <f>minilab3[[#This Row],[Costo c/u]]*minilab3[[#This Row],[Conseguidos]]</f>
        <v>554.4</v>
      </c>
      <c r="L21" s="3">
        <f>minilab3[[#This Row],[Costo total]]/$P$8</f>
        <v>138.6</v>
      </c>
    </row>
    <row r="22" spans="1:12" x14ac:dyDescent="0.25">
      <c r="A22">
        <v>21</v>
      </c>
      <c r="B22">
        <v>1</v>
      </c>
      <c r="C22" t="s">
        <v>38</v>
      </c>
      <c r="D22" s="1"/>
      <c r="E22">
        <f>minilab3[[#This Row],[Cantidad]]*$P$8</f>
        <v>4</v>
      </c>
      <c r="F22" t="s">
        <v>58</v>
      </c>
      <c r="G22" t="s">
        <v>51</v>
      </c>
      <c r="H22">
        <v>4</v>
      </c>
      <c r="I22">
        <f>IF(minilab3[[#This Row],[Conseguidos]]&gt;=minilab3[[#This Row],[Cant. Total]],minilab3[[#This Row],[Conseguidos]]-minilab3[[#This Row],[Cant. Total]],0)</f>
        <v>0</v>
      </c>
      <c r="J22" s="3">
        <v>800</v>
      </c>
      <c r="K22" s="3">
        <f>minilab3[[#This Row],[Costo c/u]]*minilab3[[#This Row],[Conseguidos]]</f>
        <v>3200</v>
      </c>
      <c r="L22" s="3">
        <f>minilab3[[#This Row],[Costo total]]/$P$8</f>
        <v>800</v>
      </c>
    </row>
    <row r="23" spans="1:12" x14ac:dyDescent="0.25">
      <c r="A23">
        <v>22</v>
      </c>
      <c r="B23">
        <v>2</v>
      </c>
      <c r="C23" t="s">
        <v>35</v>
      </c>
      <c r="D23" s="1"/>
      <c r="E23">
        <f>minilab3[[#This Row],[Cantidad]]*$P$8</f>
        <v>8</v>
      </c>
      <c r="F23" t="s">
        <v>59</v>
      </c>
      <c r="G23" t="s">
        <v>42</v>
      </c>
      <c r="H23">
        <v>8</v>
      </c>
      <c r="I23">
        <f>IF(minilab3[[#This Row],[Conseguidos]]&gt;=minilab3[[#This Row],[Cant. Total]],minilab3[[#This Row],[Conseguidos]]-minilab3[[#This Row],[Cant. Total]],0)</f>
        <v>0</v>
      </c>
      <c r="J23" s="3">
        <v>214</v>
      </c>
      <c r="K23" s="3">
        <f>minilab3[[#This Row],[Costo c/u]]*minilab3[[#This Row],[Conseguidos]]</f>
        <v>1712</v>
      </c>
      <c r="L23" s="3">
        <f>minilab3[[#This Row],[Costo total]]/$P$8</f>
        <v>428</v>
      </c>
    </row>
    <row r="24" spans="1:12" x14ac:dyDescent="0.25">
      <c r="A24">
        <v>23</v>
      </c>
      <c r="B24">
        <v>1</v>
      </c>
      <c r="C24" t="s">
        <v>19</v>
      </c>
      <c r="D24" s="1" t="s">
        <v>8</v>
      </c>
      <c r="E24">
        <f>minilab3[[#This Row],[Cantidad]]*$P$8</f>
        <v>4</v>
      </c>
      <c r="F24" t="s">
        <v>56</v>
      </c>
      <c r="G24" t="s">
        <v>42</v>
      </c>
      <c r="H24">
        <v>50</v>
      </c>
      <c r="I24">
        <f>IF(minilab3[[#This Row],[Conseguidos]]&gt;=minilab3[[#This Row],[Cant. Total]],minilab3[[#This Row],[Conseguidos]]-minilab3[[#This Row],[Cant. Total]],0)</f>
        <v>46</v>
      </c>
      <c r="J24" s="3">
        <f>1.21*63.525/50</f>
        <v>1.5373049999999997</v>
      </c>
      <c r="K24" s="3">
        <f>minilab3[[#This Row],[Costo c/u]]*minilab3[[#This Row],[Conseguidos]]</f>
        <v>76.865249999999989</v>
      </c>
      <c r="L24" s="3">
        <f>minilab3[[#This Row],[Costo total]]/$P$8</f>
        <v>19.216312499999997</v>
      </c>
    </row>
    <row r="25" spans="1:12" x14ac:dyDescent="0.25">
      <c r="A25">
        <v>24</v>
      </c>
      <c r="B25">
        <v>11</v>
      </c>
      <c r="C25" t="s">
        <v>19</v>
      </c>
      <c r="D25" s="1" t="s">
        <v>9</v>
      </c>
      <c r="E25">
        <f>minilab3[[#This Row],[Cantidad]]*$P$8</f>
        <v>44</v>
      </c>
      <c r="F25" t="s">
        <v>56</v>
      </c>
      <c r="G25" t="s">
        <v>42</v>
      </c>
      <c r="H25">
        <v>50</v>
      </c>
      <c r="I25">
        <f>IF(minilab3[[#This Row],[Conseguidos]]&gt;=minilab3[[#This Row],[Cant. Total]],minilab3[[#This Row],[Conseguidos]]-minilab3[[#This Row],[Cant. Total]],0)</f>
        <v>6</v>
      </c>
      <c r="J25" s="3">
        <f>1.21*63.525/50</f>
        <v>1.5373049999999997</v>
      </c>
      <c r="K25" s="3">
        <f>minilab3[[#This Row],[Costo c/u]]*minilab3[[#This Row],[Conseguidos]]</f>
        <v>76.865249999999989</v>
      </c>
      <c r="L25" s="3">
        <f>minilab3[[#This Row],[Costo total]]/$P$8</f>
        <v>19.216312499999997</v>
      </c>
    </row>
    <row r="26" spans="1:12" x14ac:dyDescent="0.25">
      <c r="A26">
        <v>25</v>
      </c>
      <c r="B26">
        <v>16</v>
      </c>
      <c r="C26" t="s">
        <v>19</v>
      </c>
      <c r="D26" s="1" t="s">
        <v>7</v>
      </c>
      <c r="E26">
        <f>minilab3[[#This Row],[Cantidad]]*$P$8</f>
        <v>64</v>
      </c>
      <c r="F26" t="s">
        <v>56</v>
      </c>
      <c r="G26" t="s">
        <v>42</v>
      </c>
      <c r="H26">
        <v>100</v>
      </c>
      <c r="I26">
        <f>IF(minilab3[[#This Row],[Conseguidos]]&gt;=minilab3[[#This Row],[Cant. Total]],minilab3[[#This Row],[Conseguidos]]-minilab3[[#This Row],[Cant. Total]],0)</f>
        <v>36</v>
      </c>
      <c r="J26" s="3">
        <f>1.21*63.525/50</f>
        <v>1.5373049999999997</v>
      </c>
      <c r="K26" s="3">
        <f>minilab3[[#This Row],[Costo c/u]]*minilab3[[#This Row],[Conseguidos]]</f>
        <v>153.73049999999998</v>
      </c>
      <c r="L26" s="3">
        <f>minilab3[[#This Row],[Costo total]]/$P$8</f>
        <v>38.432624999999994</v>
      </c>
    </row>
    <row r="27" spans="1:12" x14ac:dyDescent="0.25">
      <c r="A27">
        <v>26</v>
      </c>
      <c r="B27">
        <v>9</v>
      </c>
      <c r="C27" t="s">
        <v>24</v>
      </c>
      <c r="D27" s="1" t="s">
        <v>11</v>
      </c>
      <c r="E27">
        <f>minilab3[[#This Row],[Cantidad]]*$P$8</f>
        <v>36</v>
      </c>
      <c r="F27" t="s">
        <v>56</v>
      </c>
      <c r="G27" t="s">
        <v>42</v>
      </c>
      <c r="H27">
        <v>36</v>
      </c>
      <c r="I27">
        <f>IF(minilab3[[#This Row],[Conseguidos]]&gt;=minilab3[[#This Row],[Cant. Total]],minilab3[[#This Row],[Conseguidos]]-minilab3[[#This Row],[Cant. Total]],0)</f>
        <v>0</v>
      </c>
      <c r="J27" s="3">
        <f>50.82*1.21</f>
        <v>61.492199999999997</v>
      </c>
      <c r="K27" s="3">
        <f>minilab3[[#This Row],[Costo c/u]]*minilab3[[#This Row],[Conseguidos]]</f>
        <v>2213.7192</v>
      </c>
      <c r="L27" s="3">
        <f>minilab3[[#This Row],[Costo total]]/$P$8</f>
        <v>553.4298</v>
      </c>
    </row>
    <row r="28" spans="1:12" x14ac:dyDescent="0.25">
      <c r="A28">
        <v>27</v>
      </c>
      <c r="B28">
        <v>1</v>
      </c>
      <c r="C28" t="s">
        <v>24</v>
      </c>
      <c r="D28" s="1" t="s">
        <v>53</v>
      </c>
      <c r="E28">
        <f>minilab3[[#This Row],[Cantidad]]*$P$8</f>
        <v>4</v>
      </c>
      <c r="F28" t="s">
        <v>56</v>
      </c>
      <c r="G28" t="s">
        <v>42</v>
      </c>
      <c r="H28">
        <v>4</v>
      </c>
      <c r="I28">
        <f>IF(minilab3[[#This Row],[Conseguidos]]&gt;=minilab3[[#This Row],[Cant. Total]],minilab3[[#This Row],[Conseguidos]]-minilab3[[#This Row],[Cant. Total]],0)</f>
        <v>0</v>
      </c>
      <c r="J28" s="3">
        <f>179.025*1.105</f>
        <v>197.82262500000002</v>
      </c>
      <c r="K28" s="3">
        <f>minilab3[[#This Row],[Costo c/u]]*minilab3[[#This Row],[Conseguidos]]</f>
        <v>791.29050000000007</v>
      </c>
      <c r="L28" s="3">
        <f>minilab3[[#This Row],[Costo total]]/$P$8</f>
        <v>197.82262500000002</v>
      </c>
    </row>
    <row r="29" spans="1:12" x14ac:dyDescent="0.25">
      <c r="A29">
        <v>28</v>
      </c>
      <c r="B29">
        <v>1</v>
      </c>
      <c r="C29" t="s">
        <v>28</v>
      </c>
      <c r="D29" s="1"/>
      <c r="E29">
        <f>minilab3[[#This Row],[Cantidad]]*$P$8</f>
        <v>4</v>
      </c>
      <c r="F29" t="s">
        <v>56</v>
      </c>
      <c r="G29" t="s">
        <v>42</v>
      </c>
      <c r="H29">
        <v>4</v>
      </c>
      <c r="I29">
        <f>IF(minilab3[[#This Row],[Conseguidos]]&gt;=minilab3[[#This Row],[Cant. Total]],minilab3[[#This Row],[Conseguidos]]-minilab3[[#This Row],[Cant. Total]],0)</f>
        <v>0</v>
      </c>
      <c r="J29" s="3">
        <f>55.44*1.105</f>
        <v>61.261199999999995</v>
      </c>
      <c r="K29" s="3">
        <f>minilab3[[#This Row],[Costo c/u]]*minilab3[[#This Row],[Conseguidos]]</f>
        <v>245.04479999999998</v>
      </c>
      <c r="L29" s="3">
        <f>minilab3[[#This Row],[Costo total]]/$P$8</f>
        <v>61.261199999999995</v>
      </c>
    </row>
    <row r="30" spans="1:12" x14ac:dyDescent="0.25">
      <c r="A30">
        <v>29</v>
      </c>
      <c r="B30">
        <v>2</v>
      </c>
      <c r="C30" t="s">
        <v>32</v>
      </c>
      <c r="D30" s="1"/>
      <c r="E30">
        <f>minilab3[[#This Row],[Cantidad]]*$P$8</f>
        <v>8</v>
      </c>
      <c r="F30" t="s">
        <v>42</v>
      </c>
      <c r="G30" t="s">
        <v>42</v>
      </c>
      <c r="H30">
        <v>8</v>
      </c>
      <c r="I30">
        <f>IF(minilab3[[#This Row],[Conseguidos]]&gt;=minilab3[[#This Row],[Cant. Total]],minilab3[[#This Row],[Conseguidos]]-minilab3[[#This Row],[Cant. Total]],0)</f>
        <v>0</v>
      </c>
      <c r="J30" s="3">
        <v>10</v>
      </c>
      <c r="K30" s="3">
        <f>minilab3[[#This Row],[Costo c/u]]*minilab3[[#This Row],[Conseguidos]]</f>
        <v>80</v>
      </c>
      <c r="L30" s="3">
        <f>minilab3[[#This Row],[Costo total]]/$P$8</f>
        <v>20</v>
      </c>
    </row>
    <row r="31" spans="1:12" x14ac:dyDescent="0.25">
      <c r="A31">
        <v>30</v>
      </c>
      <c r="B31">
        <v>1</v>
      </c>
      <c r="C31" t="s">
        <v>31</v>
      </c>
      <c r="D31" s="1"/>
      <c r="E31">
        <f>minilab3[[#This Row],[Cantidad]]*$P$8</f>
        <v>4</v>
      </c>
      <c r="F31" t="s">
        <v>42</v>
      </c>
      <c r="G31" t="s">
        <v>42</v>
      </c>
      <c r="H31">
        <v>4</v>
      </c>
      <c r="I31">
        <f>IF(minilab3[[#This Row],[Conseguidos]]&gt;=minilab3[[#This Row],[Cant. Total]],minilab3[[#This Row],[Conseguidos]]-minilab3[[#This Row],[Cant. Total]],0)</f>
        <v>0</v>
      </c>
      <c r="J31" s="3">
        <v>10</v>
      </c>
      <c r="K31" s="3">
        <f>minilab3[[#This Row],[Costo c/u]]*minilab3[[#This Row],[Conseguidos]]</f>
        <v>40</v>
      </c>
      <c r="L31" s="3">
        <f>minilab3[[#This Row],[Costo total]]/$P$8</f>
        <v>10</v>
      </c>
    </row>
    <row r="32" spans="1:12" x14ac:dyDescent="0.25">
      <c r="A32" t="s">
        <v>49</v>
      </c>
      <c r="L32" s="3">
        <f>SUBTOTAL(109,minilab3[Costo x Minilab])</f>
        <v>4688.6938024999999</v>
      </c>
    </row>
  </sheetData>
  <phoneticPr fontId="1" type="noConversion"/>
  <conditionalFormatting sqref="H2:H18 H20:H31">
    <cfRule type="cellIs" dxfId="7" priority="1" operator="lessThan">
      <formula>$E$2</formula>
    </cfRule>
  </conditionalFormatting>
  <dataValidations count="2">
    <dataValidation type="list" allowBlank="1" showInputMessage="1" showErrorMessage="1" sqref="G2:G31" xr:uid="{FECE1C5F-7CAA-4F9D-974D-F9153328F677}">
      <formula1>$R$8:$R$10</formula1>
    </dataValidation>
    <dataValidation type="list" allowBlank="1" showInputMessage="1" showErrorMessage="1" sqref="F2:F31" xr:uid="{158E747C-3AA9-40E7-A64E-89693A4400C0}">
      <formula1>$S$8:$S$13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4155-20AD-4515-8176-9B8749CDC874}">
  <dimension ref="A2:N17"/>
  <sheetViews>
    <sheetView tabSelected="1" workbookViewId="0">
      <selection activeCell="D25" sqref="D25"/>
    </sheetView>
  </sheetViews>
  <sheetFormatPr baseColWidth="10" defaultRowHeight="15" x14ac:dyDescent="0.25"/>
  <cols>
    <col min="1" max="1" width="26.42578125" customWidth="1"/>
    <col min="9" max="10" width="9.5703125" bestFit="1" customWidth="1"/>
    <col min="12" max="13" width="12.140625" bestFit="1" customWidth="1"/>
    <col min="14" max="14" width="9.5703125" bestFit="1" customWidth="1"/>
  </cols>
  <sheetData>
    <row r="2" spans="1:14" x14ac:dyDescent="0.25">
      <c r="B2" t="s">
        <v>51</v>
      </c>
      <c r="C2" t="s">
        <v>42</v>
      </c>
      <c r="D2" t="s">
        <v>52</v>
      </c>
      <c r="E2" t="s">
        <v>61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42</v>
      </c>
    </row>
    <row r="3" spans="1:14" x14ac:dyDescent="0.25">
      <c r="A3" t="s">
        <v>62</v>
      </c>
      <c r="B3" s="4">
        <f>-SUMIF(minilab3[PAGÓ],minilab!R8,minilab3[Costo total])</f>
        <v>-6859.6</v>
      </c>
      <c r="C3" s="4">
        <f>-SUMIF(minilab3[PAGÓ],minilab!R10,minilab3[Costo total])</f>
        <v>-10743.175209999998</v>
      </c>
      <c r="D3" s="4">
        <f>-SUMIF(minilab3[PAGÓ],minilab!R9,minilab3[Costo total])</f>
        <v>-1152</v>
      </c>
      <c r="E3" s="4">
        <v>0</v>
      </c>
      <c r="H3" t="s">
        <v>67</v>
      </c>
      <c r="I3" s="4">
        <f>SUMIF(minilab3[ORIGEN],minilab!S8,minilab3[Costo total])</f>
        <v>5037.8120099999996</v>
      </c>
      <c r="J3" s="4">
        <f>SUMIF(minilab3[ORIGEN],minilab!S9,minilab3[Costo total])</f>
        <v>4059.6</v>
      </c>
      <c r="K3" s="4">
        <f>SUMIF(minilab3[ORIGEN],minilab!S10,minilab3[Costo total])</f>
        <v>3200</v>
      </c>
      <c r="L3" s="4">
        <f>SUMIF(minilab3[ORIGEN],minilab!S11,minilab3[Costo total])</f>
        <v>1712</v>
      </c>
      <c r="M3" s="4">
        <f>SUMIF(minilab3[ORIGEN],minilab!S12,minilab3[Costo total])</f>
        <v>1152</v>
      </c>
      <c r="N3" s="4">
        <f>SUMIF(minilab3[ORIGEN],minilab!S13,minilab3[Costo total])</f>
        <v>3593.3631999999998</v>
      </c>
    </row>
    <row r="4" spans="1:14" ht="15.75" thickBot="1" x14ac:dyDescent="0.3">
      <c r="A4" t="s">
        <v>63</v>
      </c>
      <c r="B4" s="4">
        <v>2000</v>
      </c>
      <c r="C4" s="4">
        <v>-2000</v>
      </c>
      <c r="D4" s="4">
        <v>0</v>
      </c>
      <c r="E4" s="4">
        <v>0</v>
      </c>
      <c r="I4" s="4"/>
      <c r="J4" s="4"/>
      <c r="K4" s="4"/>
      <c r="L4" s="4"/>
    </row>
    <row r="5" spans="1:14" ht="15.75" thickBot="1" x14ac:dyDescent="0.3">
      <c r="A5" s="5" t="s">
        <v>64</v>
      </c>
      <c r="B5" s="6">
        <f>SUM(B3:B4)</f>
        <v>-4859.6000000000004</v>
      </c>
      <c r="C5" s="6">
        <f t="shared" ref="C5:E5" si="0">SUM(C3:C4)</f>
        <v>-12743.175209999998</v>
      </c>
      <c r="D5" s="6">
        <f t="shared" si="0"/>
        <v>-1152</v>
      </c>
      <c r="E5" s="7">
        <f t="shared" si="0"/>
        <v>0</v>
      </c>
      <c r="J5" s="4"/>
    </row>
    <row r="6" spans="1:14" x14ac:dyDescent="0.25">
      <c r="B6" s="4"/>
      <c r="C6" s="4"/>
      <c r="D6" s="4"/>
      <c r="E6" s="4"/>
      <c r="I6" s="4"/>
      <c r="J6" s="4"/>
      <c r="K6" s="4"/>
    </row>
    <row r="7" spans="1:14" x14ac:dyDescent="0.25">
      <c r="A7" t="s">
        <v>65</v>
      </c>
      <c r="B7" s="4">
        <f>minilab3[[#Totals],[Costo x Minilab]]</f>
        <v>4688.6938024999999</v>
      </c>
      <c r="C7" s="4">
        <f>minilab3[[#Totals],[Costo x Minilab]]</f>
        <v>4688.6938024999999</v>
      </c>
      <c r="D7" s="4">
        <f>minilab3[[#Totals],[Costo x Minilab]]</f>
        <v>4688.6938024999999</v>
      </c>
      <c r="E7" s="4">
        <f>minilab3[[#Totals],[Costo x Minilab]]</f>
        <v>4688.6938024999999</v>
      </c>
      <c r="I7" s="4"/>
      <c r="J7" s="4"/>
      <c r="K7" s="4"/>
    </row>
    <row r="8" spans="1:14" ht="15.75" thickBot="1" x14ac:dyDescent="0.3">
      <c r="B8" s="4"/>
      <c r="C8" s="4"/>
      <c r="D8" s="4"/>
      <c r="E8" s="4"/>
      <c r="I8" s="4"/>
      <c r="J8" s="4"/>
      <c r="K8" s="4"/>
    </row>
    <row r="9" spans="1:14" ht="15.75" thickBot="1" x14ac:dyDescent="0.3">
      <c r="A9" s="5" t="s">
        <v>66</v>
      </c>
      <c r="B9" s="6">
        <f>SUM(B5:B7)</f>
        <v>-170.90619750000042</v>
      </c>
      <c r="C9" s="6">
        <f t="shared" ref="C9:E9" si="1">SUM(C5:C7)</f>
        <v>-8054.4814074999977</v>
      </c>
      <c r="D9" s="6">
        <f t="shared" si="1"/>
        <v>3536.6938024999999</v>
      </c>
      <c r="E9" s="6">
        <f t="shared" si="1"/>
        <v>4688.6938024999999</v>
      </c>
    </row>
    <row r="10" spans="1:14" x14ac:dyDescent="0.25">
      <c r="B10" s="4"/>
      <c r="C10" s="4"/>
      <c r="D10" s="4"/>
      <c r="E10" s="4"/>
    </row>
    <row r="11" spans="1:14" x14ac:dyDescent="0.25">
      <c r="B11" s="4"/>
      <c r="C11" s="4"/>
      <c r="D11" s="4"/>
      <c r="E11" s="4"/>
    </row>
    <row r="12" spans="1:14" x14ac:dyDescent="0.25">
      <c r="B12" s="4"/>
      <c r="C12" s="4"/>
      <c r="D12" s="4"/>
      <c r="E12" s="4"/>
    </row>
    <row r="13" spans="1:14" x14ac:dyDescent="0.25">
      <c r="B13" s="4"/>
      <c r="C13" s="4"/>
      <c r="D13" s="4"/>
      <c r="E13" s="4"/>
    </row>
    <row r="14" spans="1:14" x14ac:dyDescent="0.25">
      <c r="B14" s="4"/>
      <c r="C14" s="4"/>
      <c r="D14" s="4"/>
      <c r="E14" s="4"/>
    </row>
    <row r="15" spans="1:14" x14ac:dyDescent="0.25">
      <c r="B15" s="4"/>
      <c r="C15" s="4"/>
      <c r="D15" s="4"/>
      <c r="E15" s="4"/>
    </row>
    <row r="16" spans="1:14" x14ac:dyDescent="0.25">
      <c r="B16" s="4"/>
      <c r="C16" s="4"/>
      <c r="D16" s="4"/>
      <c r="E16" s="4"/>
    </row>
    <row r="17" spans="2:5" x14ac:dyDescent="0.25">
      <c r="B17" s="4"/>
      <c r="C17" s="4"/>
      <c r="D17" s="4"/>
      <c r="E17" s="4"/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E V 5 5 V G K s O z + j A A A A 9 g A A A B I A H A B D b 2 5 m a W c v U G F j a 2 F n Z S 5 4 b W w g o h g A K K A U A A A A A A A A A A A A A A A A A A A A A A A A A A A A h Y + x D o I w F E V / h X S n r 9 T F k E c d j J s k J i T G t S k V G q E Y W i z / 5 u A n + Q t i F H V z v O e e 4 d 7 7 9 Y a r s W 2 i i + 6 d 6 W x G E s p I p K 3 q S m O r j A z + G C / J S u B O q p O s d D T J 1 q W j K z N S e 3 9 O A U I I N C x o 1 1 f A G U v g k G 8 L V e t W k o 9 s / s u x s c 5 L q z Q R u H + N E Z w m j F P O p k 0 I M 8 T c 2 K / A p + 7 Z / k B c D 4 0 f e i 2 0 i z c F w h w R 3 h / E A 1 B L A w Q U A A I A C A A R X n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V 5 5 V N 4 Q t c Z a A Q A A X g Q A A B M A H A B G b 3 J t d W x h c y 9 T Z W N 0 a W 9 u M S 5 t I K I Y A C i g F A A A A A A A A A A A A A A A A A A A A A A A A A A A A O 1 S X W v C M B R 9 L / Q / h P j S Q l Z Q 9 g E b f R h 2 M s F t O s t e 1 j 2 k 7 V U D a V K S W 5 k T / / v i 6 l B x + w f m J T f n 3 B z O g W O h Q K E V m b Z 3 9 8 7 3 f M 8 u u I G S V E I J y X M S E w n o e 8 S d F y P m o B z S t 8 s o 0 U V T g c J g I C R E f a 3 Q P W x A k 9 u s h G V m o N Y 2 S 5 P u x Z M T G v E 8 K 3 V h s 5 1 q V N g l D d l 7 A l J U A s H E l F F G + l o 2 l b L x D S M P q t C l U P O 4 2 7 v q M T J p N M I U V x L i / R g 9 a w U f I W v d d a j 7 w 3 P 4 4 q W 2 p D a 6 0 k v h R u o M p z x 3 6 + M t h v A I v A R j g z Y O I + 8 7 / F 7 K a c E l N z Z G 0 x w K p 6 L W p O B V L p z 2 X i 8 1 X N m Z N l X r O 1 3 V Y I N / b b D 1 m g 4 R K p d z q P D 6 M t r u b x h Z 0 w m u T s F X m I E B V U B g Q 8 e i w w n C J / 6 Q b 1 w 2 c I K O R D 7 m B k / w g d Z Y G 6 F O m Y Q j t w u A Y 2 Y T + p 5 Q f 4 c / r E i H / p Y k 6 I X 0 3 J R z U 4 6 a 8 g 1 Q S w E C L Q A U A A I A C A A R X n l U Y q w 7 P 6 M A A A D 2 A A A A E g A A A A A A A A A A A A A A A A A A A A A A Q 2 9 u Z m l n L 1 B h Y 2 t h Z 2 U u e G 1 s U E s B A i 0 A F A A C A A g A E V 5 5 V A / K 6 a u k A A A A 6 Q A A A B M A A A A A A A A A A A A A A A A A 7 w A A A F t D b 2 5 0 Z W 5 0 X 1 R 5 c G V z X S 5 4 b W x Q S w E C L Q A U A A I A C A A R X n l U 3 h C 1 x l o B A A B e B A A A E w A A A A A A A A A A A A A A A A D g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F Q A A A A A A A M 0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W x h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1 V D E 0 O j A 4 O j M w L j U 4 O D A x M T R a I i A v P j x F b n R y e S B U e X B l P S J G a W x s Q 2 9 s d W 1 u V H l w Z X M i I F Z h b H V l P S J z Q X d N R 0 J n W U d C Z z 0 9 I i A v P j x F b n R y e S B U e X B l P S J G a W x s Q 2 9 s d W 1 u T m F t Z X M i I F Z h b H V l P S J z W y Z x d W 9 0 O 0 l 0 Z W 0 m c X V v d D s s J n F 1 b 3 Q 7 U X R 5 J n F 1 b 3 Q 7 L C Z x d W 9 0 O 1 J l Z m V y Z W 5 j Z S h z K S Z x d W 9 0 O y w m c X V v d D t W Y W x 1 Z S Z x d W 9 0 O y w m c X V v d D t M a W J Q Y X J 0 J n F 1 b 3 Q 7 L C Z x d W 9 0 O 0 Z v b 3 R w c m l u d C Z x d W 9 0 O y w m c X V v d D t E Y X R h c 2 h l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5 p b G F i L 0 F 1 d G 9 S Z W 1 v d m V k Q 2 9 s d W 1 u c z E u e 0 l 0 Z W 0 s M H 0 m c X V v d D s s J n F 1 b 3 Q 7 U 2 V j d G l v b j E v b W l u a W x h Y i 9 B d X R v U m V t b 3 Z l Z E N v b H V t b n M x L n t R d H k s M X 0 m c X V v d D s s J n F 1 b 3 Q 7 U 2 V j d G l v b j E v b W l u a W x h Y i 9 B d X R v U m V t b 3 Z l Z E N v b H V t b n M x L n t S Z W Z l c m V u Y 2 U o c y k s M n 0 m c X V v d D s s J n F 1 b 3 Q 7 U 2 V j d G l v b j E v b W l u a W x h Y i 9 B d X R v U m V t b 3 Z l Z E N v b H V t b n M x L n t W Y W x 1 Z S w z f S Z x d W 9 0 O y w m c X V v d D t T Z W N 0 a W 9 u M S 9 t a W 5 p b G F i L 0 F 1 d G 9 S Z W 1 v d m V k Q 2 9 s d W 1 u c z E u e 0 x p Y l B h c n Q s N H 0 m c X V v d D s s J n F 1 b 3 Q 7 U 2 V j d G l v b j E v b W l u a W x h Y i 9 B d X R v U m V t b 3 Z l Z E N v b H V t b n M x L n t G b 2 9 0 c H J p b n Q s N X 0 m c X V v d D s s J n F 1 b 3 Q 7 U 2 V j d G l v b j E v b W l u a W x h Y i 9 B d X R v U m V t b 3 Z l Z E N v b H V t b n M x L n t E Y X R h c 2 h l Z X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l u a W x h Y i 9 B d X R v U m V t b 3 Z l Z E N v b H V t b n M x L n t J d G V t L D B 9 J n F 1 b 3 Q 7 L C Z x d W 9 0 O 1 N l Y 3 R p b 2 4 x L 2 1 p b m l s Y W I v Q X V 0 b 1 J l b W 9 2 Z W R D b 2 x 1 b W 5 z M S 5 7 U X R 5 L D F 9 J n F 1 b 3 Q 7 L C Z x d W 9 0 O 1 N l Y 3 R p b 2 4 x L 2 1 p b m l s Y W I v Q X V 0 b 1 J l b W 9 2 Z W R D b 2 x 1 b W 5 z M S 5 7 U m V m Z X J l b m N l K H M p L D J 9 J n F 1 b 3 Q 7 L C Z x d W 9 0 O 1 N l Y 3 R p b 2 4 x L 2 1 p b m l s Y W I v Q X V 0 b 1 J l b W 9 2 Z W R D b 2 x 1 b W 5 z M S 5 7 V m F s d W U s M 3 0 m c X V v d D s s J n F 1 b 3 Q 7 U 2 V j d G l v b j E v b W l u a W x h Y i 9 B d X R v U m V t b 3 Z l Z E N v b H V t b n M x L n t M a W J Q Y X J 0 L D R 9 J n F 1 b 3 Q 7 L C Z x d W 9 0 O 1 N l Y 3 R p b 2 4 x L 2 1 p b m l s Y W I v Q X V 0 b 1 J l b W 9 2 Z W R D b 2 x 1 b W 5 z M S 5 7 R m 9 v d H B y a W 5 0 L D V 9 J n F 1 b 3 Q 7 L C Z x d W 9 0 O 1 N l Y 3 R p b 2 4 x L 2 1 p b m l s Y W I v Q X V 0 b 1 J l b W 9 2 Z W R D b 2 x 1 b W 5 z M S 5 7 R G F 0 Y X N o Z W V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5 p b G F i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m l s Y W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W x h Y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p b G F i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l u a W x h Y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1 V D E 0 O j A 4 O j M w L j U 4 O D A x M T R a I i A v P j x F b n R y e S B U e X B l P S J G a W x s Q 2 9 s d W 1 u V H l w Z X M i I F Z h b H V l P S J z Q X d N R 0 J n W U d C Z z 0 9 I i A v P j x F b n R y e S B U e X B l P S J G a W x s Q 2 9 s d W 1 u T m F t Z X M i I F Z h b H V l P S J z W y Z x d W 9 0 O 0 l 0 Z W 0 m c X V v d D s s J n F 1 b 3 Q 7 U X R 5 J n F 1 b 3 Q 7 L C Z x d W 9 0 O 1 J l Z m V y Z W 5 j Z S h z K S Z x d W 9 0 O y w m c X V v d D t W Y W x 1 Z S Z x d W 9 0 O y w m c X V v d D t M a W J Q Y X J 0 J n F 1 b 3 Q 7 L C Z x d W 9 0 O 0 Z v b 3 R w c m l u d C Z x d W 9 0 O y w m c X V v d D t E Y X R h c 2 h l Z X Q m c X V v d D t d I i A v P j x F b n R y e S B U e X B l P S J G a W x s U 3 R h d H V z I i B W Y W x 1 Z T 0 i c 0 N v b X B s Z X R l I i A v P j x F b n R y e S B U e X B l P S J G a W x s Q 2 9 1 b n Q i I F Z h b H V l P S J s M j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b m l s Y W I v Q X V 0 b 1 J l b W 9 2 Z W R D b 2 x 1 b W 5 z M S 5 7 S X R l b S w w f S Z x d W 9 0 O y w m c X V v d D t T Z W N 0 a W 9 u M S 9 t a W 5 p b G F i L 0 F 1 d G 9 S Z W 1 v d m V k Q 2 9 s d W 1 u c z E u e 1 F 0 e S w x f S Z x d W 9 0 O y w m c X V v d D t T Z W N 0 a W 9 u M S 9 t a W 5 p b G F i L 0 F 1 d G 9 S Z W 1 v d m V k Q 2 9 s d W 1 u c z E u e 1 J l Z m V y Z W 5 j Z S h z K S w y f S Z x d W 9 0 O y w m c X V v d D t T Z W N 0 a W 9 u M S 9 t a W 5 p b G F i L 0 F 1 d G 9 S Z W 1 v d m V k Q 2 9 s d W 1 u c z E u e 1 Z h b H V l L D N 9 J n F 1 b 3 Q 7 L C Z x d W 9 0 O 1 N l Y 3 R p b 2 4 x L 2 1 p b m l s Y W I v Q X V 0 b 1 J l b W 9 2 Z W R D b 2 x 1 b W 5 z M S 5 7 T G l i U G F y d C w 0 f S Z x d W 9 0 O y w m c X V v d D t T Z W N 0 a W 9 u M S 9 t a W 5 p b G F i L 0 F 1 d G 9 S Z W 1 v d m V k Q 2 9 s d W 1 u c z E u e 0 Z v b 3 R w c m l u d C w 1 f S Z x d W 9 0 O y w m c X V v d D t T Z W N 0 a W 9 u M S 9 t a W 5 p b G F i L 0 F 1 d G 9 S Z W 1 v d m V k Q 2 9 s d W 1 u c z E u e 0 R h d G F z a G V l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W 5 p b G F i L 0 F 1 d G 9 S Z W 1 v d m V k Q 2 9 s d W 1 u c z E u e 0 l 0 Z W 0 s M H 0 m c X V v d D s s J n F 1 b 3 Q 7 U 2 V j d G l v b j E v b W l u a W x h Y i 9 B d X R v U m V t b 3 Z l Z E N v b H V t b n M x L n t R d H k s M X 0 m c X V v d D s s J n F 1 b 3 Q 7 U 2 V j d G l v b j E v b W l u a W x h Y i 9 B d X R v U m V t b 3 Z l Z E N v b H V t b n M x L n t S Z W Z l c m V u Y 2 U o c y k s M n 0 m c X V v d D s s J n F 1 b 3 Q 7 U 2 V j d G l v b j E v b W l u a W x h Y i 9 B d X R v U m V t b 3 Z l Z E N v b H V t b n M x L n t W Y W x 1 Z S w z f S Z x d W 9 0 O y w m c X V v d D t T Z W N 0 a W 9 u M S 9 t a W 5 p b G F i L 0 F 1 d G 9 S Z W 1 v d m V k Q 2 9 s d W 1 u c z E u e 0 x p Y l B h c n Q s N H 0 m c X V v d D s s J n F 1 b 3 Q 7 U 2 V j d G l v b j E v b W l u a W x h Y i 9 B d X R v U m V t b 3 Z l Z E N v b H V t b n M x L n t G b 2 9 0 c H J p b n Q s N X 0 m c X V v d D s s J n F 1 b 3 Q 7 U 2 V j d G l v b j E v b W l u a W x h Y i 9 B d X R v U m V t b 3 Z l Z E N v b H V t b n M x L n t E Y X R h c 2 h l Z X Q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5 p b G F i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m l s Y W I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W x h Y i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t M k D q h J v k q D / W v a D l T 9 K Q A A A A A C A A A A A A A Q Z g A A A A E A A C A A A A D o o 1 L K Q w r Q X d r S 3 r 0 0 8 S 2 l e Z 7 3 2 B J o H s F J D f N c R H w E C Q A A A A A O g A A A A A I A A C A A A A C m 6 Y C T m k s x e 5 B P 6 t E 4 M U x L h + O x 9 Q o Y 0 i G y + 1 x e k 9 0 + + F A A A A D 6 c 5 X T T 7 z w / E O h E h M O t / i t N m 1 S i 4 X t c O 1 Q C X Z o j d w E j b F q j X w 5 0 G N K p M U U o v t O 8 u B + Y g d F a 9 G J k Z q r 8 u l 1 z x 3 0 T B U o + b z z k n G y 1 z u M m L 8 a I 0 A A A A B J f 4 k i o D L W Q 4 C u 9 6 1 P s H v 5 p 3 E I 6 f k 5 x Q P X w Q k 2 b q B d o t W b D T O 6 x 0 a 6 w g 4 V H v q 7 b Z L N Q R M t T 6 8 y k I P K u s X 9 T O K Q < / D a t a M a s h u p > 
</file>

<file path=customXml/itemProps1.xml><?xml version="1.0" encoding="utf-8"?>
<ds:datastoreItem xmlns:ds="http://schemas.openxmlformats.org/officeDocument/2006/customXml" ds:itemID="{36D63099-5EA3-43BF-9590-3FF07E76BB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minilab</vt:lpstr>
      <vt:lpstr>reportes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Walter Philippeaux</dc:creator>
  <cp:lastModifiedBy>Enrique Walter Philippeaux</cp:lastModifiedBy>
  <dcterms:created xsi:type="dcterms:W3CDTF">2022-03-25T14:08:01Z</dcterms:created>
  <dcterms:modified xsi:type="dcterms:W3CDTF">2022-03-27T20:24:28Z</dcterms:modified>
</cp:coreProperties>
</file>