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iqu\Dropbox\DOCUMENTOS\ONIET 2017\Documentos fuente - PEPO-QUIQUE\Informe\"/>
    </mc:Choice>
  </mc:AlternateContent>
  <bookViews>
    <workbookView xWindow="0" yWindow="0" windowWidth="17895" windowHeight="8145" activeTab="2"/>
  </bookViews>
  <sheets>
    <sheet name="Calculos de Voltaje" sheetId="1" r:id="rId1"/>
    <sheet name="Calculos de ganancias" sheetId="3" r:id="rId2"/>
    <sheet name="Potencias de salida" sheetId="2" r:id="rId3"/>
    <sheet name="Calculos de reistencia simula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E4" i="1"/>
  <c r="E6" i="1" s="1"/>
  <c r="B6" i="1"/>
  <c r="H6" i="1" l="1"/>
  <c r="K6" i="1" s="1"/>
  <c r="M6" i="1" s="1"/>
  <c r="B5" i="1"/>
  <c r="B7" i="1"/>
  <c r="B4" i="1"/>
  <c r="J6" i="1" l="1"/>
  <c r="E8" i="4" l="1"/>
  <c r="E16" i="4"/>
  <c r="F16" i="4" s="1"/>
  <c r="E24" i="4"/>
  <c r="F24" i="4" s="1"/>
  <c r="D5" i="4"/>
  <c r="E5" i="4" s="1"/>
  <c r="F5" i="4" s="1"/>
  <c r="D6" i="4"/>
  <c r="E6" i="4" s="1"/>
  <c r="F6" i="4" s="1"/>
  <c r="D7" i="4"/>
  <c r="E7" i="4" s="1"/>
  <c r="F7" i="4" s="1"/>
  <c r="D8" i="4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D14" i="4"/>
  <c r="E14" i="4" s="1"/>
  <c r="F14" i="4" s="1"/>
  <c r="D15" i="4"/>
  <c r="E15" i="4" s="1"/>
  <c r="F15" i="4" s="1"/>
  <c r="D16" i="4"/>
  <c r="D17" i="4"/>
  <c r="E17" i="4" s="1"/>
  <c r="F17" i="4" s="1"/>
  <c r="D18" i="4"/>
  <c r="E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D24" i="4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D4" i="4"/>
  <c r="E4" i="4" s="1"/>
  <c r="F4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4" i="4"/>
  <c r="C9" i="3" l="1"/>
  <c r="E9" i="3" l="1"/>
  <c r="C6" i="3"/>
  <c r="E6" i="3" s="1"/>
  <c r="G6" i="3"/>
  <c r="C7" i="3"/>
  <c r="E7" i="3" s="1"/>
  <c r="G7" i="3"/>
  <c r="C8" i="3"/>
  <c r="E8" i="3" s="1"/>
  <c r="G8" i="3"/>
  <c r="G9" i="3"/>
  <c r="C5" i="3"/>
  <c r="E5" i="3" s="1"/>
  <c r="G5" i="3"/>
  <c r="G5" i="1" l="1"/>
  <c r="E5" i="1"/>
  <c r="E7" i="1"/>
  <c r="H4" i="1" l="1"/>
  <c r="K4" i="1" s="1"/>
  <c r="M4" i="1" s="1"/>
  <c r="H7" i="1"/>
  <c r="C17" i="1" s="1"/>
  <c r="H5" i="1"/>
  <c r="K5" i="1" s="1"/>
  <c r="K17" i="1" l="1"/>
  <c r="I17" i="1"/>
  <c r="G17" i="1"/>
  <c r="K7" i="1"/>
  <c r="M7" i="1" s="1"/>
  <c r="C15" i="1"/>
  <c r="C20" i="1"/>
  <c r="C18" i="1"/>
  <c r="M5" i="1"/>
  <c r="C16" i="1"/>
  <c r="J7" i="1"/>
  <c r="J5" i="1"/>
  <c r="J4" i="1"/>
  <c r="K19" i="1" l="1"/>
  <c r="I19" i="1"/>
  <c r="I20" i="1"/>
  <c r="K20" i="1"/>
  <c r="I18" i="1"/>
  <c r="K18" i="1"/>
  <c r="G18" i="1"/>
  <c r="G15" i="1"/>
  <c r="K15" i="1"/>
  <c r="I15" i="1"/>
  <c r="I16" i="1"/>
  <c r="G16" i="1"/>
  <c r="K16" i="1"/>
  <c r="G20" i="1"/>
  <c r="G19" i="1"/>
</calcChain>
</file>

<file path=xl/sharedStrings.xml><?xml version="1.0" encoding="utf-8"?>
<sst xmlns="http://schemas.openxmlformats.org/spreadsheetml/2006/main" count="87" uniqueCount="77">
  <si>
    <t>Regulador</t>
  </si>
  <si>
    <t>Tension</t>
  </si>
  <si>
    <t>Corriente</t>
  </si>
  <si>
    <t>Potencia</t>
  </si>
  <si>
    <t>Externas</t>
  </si>
  <si>
    <t>Salidas</t>
  </si>
  <si>
    <t>Internas</t>
  </si>
  <si>
    <t>-12</t>
  </si>
  <si>
    <t>0-25</t>
  </si>
  <si>
    <t>5</t>
  </si>
  <si>
    <t>12</t>
  </si>
  <si>
    <t>1</t>
  </si>
  <si>
    <t>Nota1: Datos de corriente maxima extraidos de datasheets proveidos por la pagina de compra ELEMON.</t>
  </si>
  <si>
    <t>2</t>
  </si>
  <si>
    <t>Potencia Total</t>
  </si>
  <si>
    <t>Vrms</t>
  </si>
  <si>
    <t>Capacitancia Total</t>
  </si>
  <si>
    <t>Imax</t>
  </si>
  <si>
    <t>Vripple Max</t>
  </si>
  <si>
    <t>Vmin</t>
  </si>
  <si>
    <t>Vmin admitido</t>
  </si>
  <si>
    <t>Vp - Vdiodos</t>
  </si>
  <si>
    <t>Resistencia Antes del regulador</t>
  </si>
  <si>
    <t>Vmin Aceptable</t>
  </si>
  <si>
    <t>Caida Resistencia Max</t>
  </si>
  <si>
    <t>Vout minimo Reguladores</t>
  </si>
  <si>
    <t>Potencia a disipar Entre reguladores</t>
  </si>
  <si>
    <t>Rth j-amb</t>
  </si>
  <si>
    <t>Rth j-c</t>
  </si>
  <si>
    <t>7912(Ext)</t>
  </si>
  <si>
    <t>7805(Int)</t>
  </si>
  <si>
    <t>7812(Int)</t>
  </si>
  <si>
    <t>Potencia a Disipar MAX</t>
  </si>
  <si>
    <t>Calculos Termicos</t>
  </si>
  <si>
    <t>Calculos de voltaje y ripple</t>
  </si>
  <si>
    <t>Tamb</t>
  </si>
  <si>
    <t>Constantes</t>
  </si>
  <si>
    <t>Tj Estimada (No disipador)</t>
  </si>
  <si>
    <t>Rth c-d</t>
  </si>
  <si>
    <t>Tj Estimada (Con Disipador)</t>
  </si>
  <si>
    <t>Tj</t>
  </si>
  <si>
    <t>Tj(Max)</t>
  </si>
  <si>
    <t>Rth d-amb Nescesario (Max)</t>
  </si>
  <si>
    <t>Rth d-amb</t>
  </si>
  <si>
    <t>Lm317t(1)</t>
  </si>
  <si>
    <t>LM317t(2)</t>
  </si>
  <si>
    <t>Se utilizara un disipador de computadora con refrigeracion forzada, y micas de aislamiento con pasta termica de buena calidad.</t>
  </si>
  <si>
    <t>Notas</t>
  </si>
  <si>
    <t>50</t>
  </si>
  <si>
    <t>Calculos operacionales</t>
  </si>
  <si>
    <t>Ganancia</t>
  </si>
  <si>
    <t>Ganancia Real</t>
  </si>
  <si>
    <t>Vin</t>
  </si>
  <si>
    <t>Vout</t>
  </si>
  <si>
    <t>R Entrada</t>
  </si>
  <si>
    <t>Rf</t>
  </si>
  <si>
    <t>Rf Real</t>
  </si>
  <si>
    <t>Se usa POTE</t>
  </si>
  <si>
    <t>Calculos de resistencia de carga para simulacion</t>
  </si>
  <si>
    <t>Vset</t>
  </si>
  <si>
    <t>Iout</t>
  </si>
  <si>
    <t>Rsens V</t>
  </si>
  <si>
    <t>Vout post-R</t>
  </si>
  <si>
    <t>Nota: Los valores de Vout POST-R son inestables ya que no se esta simulando la intervencion que realiza el microcontrolador en Vset</t>
  </si>
  <si>
    <t>Rl</t>
  </si>
  <si>
    <r>
      <t>P</t>
    </r>
    <r>
      <rPr>
        <sz val="8"/>
        <color theme="1"/>
        <rFont val="Calibri"/>
        <family val="2"/>
        <scheme val="minor"/>
      </rPr>
      <t>max a disipar</t>
    </r>
    <r>
      <rPr>
        <sz val="11"/>
        <color theme="1"/>
        <rFont val="Calibri"/>
        <family val="2"/>
        <scheme val="minor"/>
      </rPr>
      <t xml:space="preserve"> x R</t>
    </r>
    <r>
      <rPr>
        <sz val="8"/>
        <color theme="1"/>
        <rFont val="Calibri"/>
        <family val="2"/>
        <scheme val="minor"/>
      </rPr>
      <t>th j-amb</t>
    </r>
    <r>
      <rPr>
        <sz val="11"/>
        <color theme="1"/>
        <rFont val="Calibri"/>
        <family val="2"/>
        <scheme val="minor"/>
      </rPr>
      <t xml:space="preserve"> + T</t>
    </r>
    <r>
      <rPr>
        <sz val="8"/>
        <color theme="1"/>
        <rFont val="Calibri"/>
        <family val="2"/>
        <scheme val="minor"/>
      </rPr>
      <t>amb</t>
    </r>
  </si>
  <si>
    <t>Lm317t(2)</t>
  </si>
  <si>
    <t>Vp-Vdiodos - Vripple max - Caida en R</t>
  </si>
  <si>
    <t>R(antes de reg)xImax</t>
  </si>
  <si>
    <t>Vin prom</t>
  </si>
  <si>
    <r>
      <t>(V</t>
    </r>
    <r>
      <rPr>
        <sz val="8"/>
        <color theme="1"/>
        <rFont val="Calibri"/>
        <family val="2"/>
        <scheme val="minor"/>
      </rPr>
      <t xml:space="preserve">inprom </t>
    </r>
    <r>
      <rPr>
        <sz val="11"/>
        <color theme="1"/>
        <rFont val="Calibri"/>
        <family val="2"/>
        <scheme val="minor"/>
      </rPr>
      <t>- V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 x I</t>
    </r>
    <r>
      <rPr>
        <sz val="8"/>
        <color theme="1"/>
        <rFont val="Calibri"/>
        <family val="2"/>
        <scheme val="minor"/>
      </rPr>
      <t>max</t>
    </r>
  </si>
  <si>
    <r>
      <t>Vrms*</t>
    </r>
    <r>
      <rPr>
        <sz val="10"/>
        <color theme="1"/>
        <rFont val="Calibri"/>
        <family val="2"/>
      </rPr>
      <t>√(2)-1,4</t>
    </r>
  </si>
  <si>
    <t>Imax/(C/10000)</t>
  </si>
  <si>
    <t>Lm317t(3)</t>
  </si>
  <si>
    <t>LM317t(1)</t>
  </si>
  <si>
    <t>25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</si>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</sst>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@\ &quot;V&quot;"/>
    <numFmt numFmtId="165" formatCode="@\ &quot;A&quot;"/>
    <numFmt numFmtId="166" formatCode="@\ &quot;W&quot;"/>
    <numFmt numFmtId="167" formatCode="#,##0.00\ &quot;V&quot;"/>
    <numFmt numFmtId="168" formatCode="&quot;-&quot;#,##0.00\ &quot;V&quot;"/>
    <numFmt numFmtId="169" formatCode="#,##0\ &quot;µF&quot;"/>
    <numFmt numFmtId="170" formatCode="#,##0\ &quot;Ω&quot;"/>
    <numFmt numFmtId="171" formatCode="#,##0.00\ &quot;A&quot;"/>
    <numFmt numFmtId="172" formatCode="#,##0.00\ &quot;W&quot;"/>
    <numFmt numFmtId="173" formatCode="#,##0.00\ &quot;°C/W&quot;"/>
    <numFmt numFmtId="174" formatCode="#,##0\ &quot;°C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/>
    <xf numFmtId="171" fontId="0" fillId="0" borderId="14" xfId="0" applyNumberFormat="1" applyBorder="1"/>
    <xf numFmtId="171" fontId="0" fillId="0" borderId="17" xfId="0" applyNumberFormat="1" applyBorder="1"/>
    <xf numFmtId="167" fontId="0" fillId="0" borderId="13" xfId="0" applyNumberFormat="1" applyBorder="1"/>
    <xf numFmtId="167" fontId="0" fillId="0" borderId="14" xfId="0" applyNumberFormat="1" applyBorder="1"/>
    <xf numFmtId="169" fontId="0" fillId="0" borderId="14" xfId="0" applyNumberFormat="1" applyBorder="1"/>
    <xf numFmtId="170" fontId="0" fillId="0" borderId="14" xfId="0" applyNumberFormat="1" applyBorder="1"/>
    <xf numFmtId="172" fontId="0" fillId="0" borderId="15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167" fontId="0" fillId="0" borderId="16" xfId="0" applyNumberFormat="1" applyBorder="1"/>
    <xf numFmtId="167" fontId="0" fillId="0" borderId="17" xfId="0" applyNumberFormat="1" applyBorder="1"/>
    <xf numFmtId="169" fontId="0" fillId="0" borderId="17" xfId="0" applyNumberFormat="1" applyBorder="1"/>
    <xf numFmtId="170" fontId="0" fillId="0" borderId="17" xfId="0" applyNumberFormat="1" applyBorder="1"/>
    <xf numFmtId="0" fontId="0" fillId="0" borderId="17" xfId="0" applyBorder="1" applyAlignment="1">
      <alignment horizontal="center" vertical="center"/>
    </xf>
    <xf numFmtId="172" fontId="0" fillId="0" borderId="18" xfId="0" applyNumberFormat="1" applyBorder="1"/>
    <xf numFmtId="0" fontId="2" fillId="0" borderId="13" xfId="0" applyFont="1" applyBorder="1" applyAlignment="1">
      <alignment horizontal="center" vertical="center"/>
    </xf>
    <xf numFmtId="174" fontId="0" fillId="0" borderId="15" xfId="0" applyNumberFormat="1" applyBorder="1"/>
    <xf numFmtId="0" fontId="2" fillId="0" borderId="16" xfId="0" applyFont="1" applyBorder="1" applyAlignment="1">
      <alignment horizontal="center" vertical="center"/>
    </xf>
    <xf numFmtId="174" fontId="0" fillId="0" borderId="18" xfId="0" applyNumberFormat="1" applyBorder="1"/>
    <xf numFmtId="0" fontId="0" fillId="0" borderId="14" xfId="0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1" fontId="0" fillId="0" borderId="14" xfId="0" applyNumberFormat="1" applyBorder="1" applyAlignment="1">
      <alignment horizontal="center" vertical="center"/>
    </xf>
    <xf numFmtId="172" fontId="0" fillId="0" borderId="14" xfId="0" applyNumberFormat="1" applyBorder="1" applyAlignment="1">
      <alignment horizontal="center" vertical="center"/>
    </xf>
    <xf numFmtId="174" fontId="0" fillId="0" borderId="14" xfId="0" applyNumberFormat="1" applyBorder="1" applyAlignment="1">
      <alignment horizontal="center" vertical="center"/>
    </xf>
    <xf numFmtId="171" fontId="0" fillId="0" borderId="17" xfId="0" applyNumberFormat="1" applyBorder="1" applyAlignment="1">
      <alignment horizontal="center" vertical="center"/>
    </xf>
    <xf numFmtId="172" fontId="0" fillId="0" borderId="17" xfId="0" applyNumberFormat="1" applyBorder="1" applyAlignment="1">
      <alignment horizontal="center" vertical="center"/>
    </xf>
    <xf numFmtId="174" fontId="0" fillId="0" borderId="17" xfId="0" applyNumberFormat="1" applyBorder="1" applyAlignment="1">
      <alignment horizontal="center" vertical="center"/>
    </xf>
    <xf numFmtId="173" fontId="0" fillId="0" borderId="14" xfId="0" applyNumberFormat="1" applyBorder="1" applyAlignment="1">
      <alignment horizontal="center" vertical="center"/>
    </xf>
    <xf numFmtId="173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2" borderId="2" xfId="1" applyFont="1" applyBorder="1" applyAlignment="1">
      <alignment horizontal="center" vertical="top" wrapText="1"/>
    </xf>
    <xf numFmtId="0" fontId="0" fillId="2" borderId="3" xfId="1" applyFont="1" applyBorder="1" applyAlignment="1">
      <alignment horizontal="center" vertical="top" wrapText="1"/>
    </xf>
    <xf numFmtId="0" fontId="0" fillId="2" borderId="4" xfId="1" applyFont="1" applyBorder="1" applyAlignment="1">
      <alignment horizontal="center" vertical="top" wrapText="1"/>
    </xf>
    <xf numFmtId="0" fontId="0" fillId="2" borderId="5" xfId="1" applyFont="1" applyBorder="1" applyAlignment="1">
      <alignment horizontal="center" vertical="top" wrapText="1"/>
    </xf>
    <xf numFmtId="0" fontId="0" fillId="2" borderId="0" xfId="1" applyFont="1" applyBorder="1" applyAlignment="1">
      <alignment horizontal="center" vertical="top" wrapText="1"/>
    </xf>
    <xf numFmtId="0" fontId="0" fillId="2" borderId="6" xfId="1" applyFont="1" applyBorder="1" applyAlignment="1">
      <alignment horizontal="center" vertical="top" wrapText="1"/>
    </xf>
    <xf numFmtId="0" fontId="0" fillId="2" borderId="7" xfId="1" applyFont="1" applyBorder="1" applyAlignment="1">
      <alignment horizontal="center" vertical="top" wrapText="1"/>
    </xf>
    <xf numFmtId="0" fontId="0" fillId="2" borderId="8" xfId="1" applyFont="1" applyBorder="1" applyAlignment="1">
      <alignment horizontal="center" vertical="top" wrapText="1"/>
    </xf>
    <xf numFmtId="0" fontId="0" fillId="2" borderId="9" xfId="1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0" fillId="2" borderId="1" xfId="1" applyFont="1" applyAlignment="1">
      <alignment horizontal="center" vertical="center" wrapText="1"/>
    </xf>
    <xf numFmtId="0" fontId="8" fillId="2" borderId="14" xfId="1" applyFont="1" applyBorder="1" applyAlignment="1">
      <alignment horizontal="center" vertical="center" wrapText="1"/>
    </xf>
    <xf numFmtId="0" fontId="8" fillId="2" borderId="15" xfId="1" applyFont="1" applyBorder="1" applyAlignment="1">
      <alignment horizontal="center" vertical="center" wrapText="1"/>
    </xf>
    <xf numFmtId="0" fontId="8" fillId="2" borderId="17" xfId="1" applyFont="1" applyBorder="1" applyAlignment="1">
      <alignment horizontal="center" vertical="center" wrapText="1"/>
    </xf>
    <xf numFmtId="0" fontId="8" fillId="2" borderId="18" xfId="1" applyFont="1" applyBorder="1" applyAlignment="1">
      <alignment horizontal="center" vertical="center" wrapText="1"/>
    </xf>
  </cellXfs>
  <cellStyles count="2">
    <cellStyle name="Normal" xfId="0" builtinId="0"/>
    <cellStyle name="Notas" xfId="1" builtinId="1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@\ &quot;W&quot;"/>
      <alignment horizontal="center" vertical="center" textRotation="0" wrapText="0" indent="0" justifyLastLine="0" shrinkToFit="0" readingOrder="0"/>
    </dxf>
    <dxf>
      <numFmt numFmtId="165" formatCode="@\ &quot;A&quot;"/>
      <alignment horizontal="center" vertical="center" textRotation="0" wrapText="0" indent="0" justifyLastLine="0" shrinkToFit="0" readingOrder="0"/>
    </dxf>
    <dxf>
      <numFmt numFmtId="164" formatCode="@\ &quot;V&quot;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rgb="FFB2B2B2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a3" displayName="Tabla3" ref="A1:E8" totalsRowShown="0" headerRowDxfId="15" dataDxfId="14" tableBorderDxfId="13">
  <autoFilter ref="A1:E8"/>
  <tableColumns count="5">
    <tableColumn id="1" name="Salidas" dataDxfId="12"/>
    <tableColumn id="2" name="Regulador" dataDxfId="11"/>
    <tableColumn id="3" name="Tension" dataDxfId="10"/>
    <tableColumn id="4" name="Corriente" dataDxfId="9"/>
    <tableColumn id="5" name="Potencia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GridLines="0" showRowColHeaders="0" zoomScale="85" zoomScaleNormal="85" workbookViewId="0">
      <selection activeCell="M6" sqref="M6"/>
    </sheetView>
  </sheetViews>
  <sheetFormatPr baseColWidth="10" defaultRowHeight="15" x14ac:dyDescent="0.25"/>
  <cols>
    <col min="1" max="13" width="10.85546875" customWidth="1"/>
    <col min="15" max="15" width="11.5703125" customWidth="1"/>
    <col min="24" max="24" width="11.85546875" bestFit="1" customWidth="1"/>
  </cols>
  <sheetData>
    <row r="1" spans="1:13" ht="15" customHeight="1" x14ac:dyDescent="0.25">
      <c r="A1" s="50" t="s">
        <v>34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ht="15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1:13" s="6" customFormat="1" ht="51" x14ac:dyDescent="0.25">
      <c r="A3" s="28" t="s">
        <v>15</v>
      </c>
      <c r="B3" s="29" t="s">
        <v>21</v>
      </c>
      <c r="C3" s="29" t="s">
        <v>16</v>
      </c>
      <c r="D3" s="29" t="s">
        <v>17</v>
      </c>
      <c r="E3" s="29" t="s">
        <v>18</v>
      </c>
      <c r="F3" s="29" t="s">
        <v>22</v>
      </c>
      <c r="G3" s="29" t="s">
        <v>24</v>
      </c>
      <c r="H3" s="29" t="s">
        <v>19</v>
      </c>
      <c r="I3" s="29" t="s">
        <v>20</v>
      </c>
      <c r="J3" s="29" t="s">
        <v>23</v>
      </c>
      <c r="K3" s="29" t="s">
        <v>69</v>
      </c>
      <c r="L3" s="29" t="s">
        <v>25</v>
      </c>
      <c r="M3" s="30" t="s">
        <v>26</v>
      </c>
    </row>
    <row r="4" spans="1:13" x14ac:dyDescent="0.25">
      <c r="A4" s="10">
        <v>12</v>
      </c>
      <c r="B4" s="11">
        <f>A4*SQRT(2)-1.2</f>
        <v>15.770562748477143</v>
      </c>
      <c r="C4" s="12">
        <v>14300</v>
      </c>
      <c r="D4" s="8">
        <v>1.3</v>
      </c>
      <c r="E4" s="11">
        <f>(D4+D6)/(100*C4/1000000)</f>
        <v>1.188811188811189</v>
      </c>
      <c r="F4" s="13">
        <v>1</v>
      </c>
      <c r="G4" s="11">
        <v>1</v>
      </c>
      <c r="H4" s="11">
        <f>B4-E4-G4</f>
        <v>13.581751559665955</v>
      </c>
      <c r="I4" s="11">
        <v>13</v>
      </c>
      <c r="J4" s="27" t="str">
        <f>IF(H4&gt;I4,"Si","No")</f>
        <v>Si</v>
      </c>
      <c r="K4" s="11">
        <f>H4+E4/2</f>
        <v>14.17615715407155</v>
      </c>
      <c r="L4" s="11">
        <v>12</v>
      </c>
      <c r="M4" s="14">
        <f>(K4-L4)*D4</f>
        <v>2.8290043002930152</v>
      </c>
    </row>
    <row r="5" spans="1:13" ht="15" customHeight="1" x14ac:dyDescent="0.25">
      <c r="A5" s="15">
        <v>12</v>
      </c>
      <c r="B5" s="15">
        <f t="shared" ref="B5:B6" si="0">A5*SQRT(2)-1.2</f>
        <v>15.770562748477143</v>
      </c>
      <c r="C5" s="12">
        <v>9500</v>
      </c>
      <c r="D5" s="8">
        <v>1</v>
      </c>
      <c r="E5" s="11">
        <f t="shared" ref="E5:E6" si="1">D5/(100*C5/1000000)</f>
        <v>1.0526315789473684</v>
      </c>
      <c r="F5" s="13">
        <v>1</v>
      </c>
      <c r="G5" s="11">
        <f t="shared" ref="G5" si="2">F5*D5</f>
        <v>1</v>
      </c>
      <c r="H5" s="16">
        <f t="shared" ref="H5:H6" si="3">B5-E5-G5</f>
        <v>13.717931169529775</v>
      </c>
      <c r="I5" s="16">
        <v>13</v>
      </c>
      <c r="J5" s="27" t="str">
        <f t="shared" ref="J5:J6" si="4">IF(H5&gt;I5,"Si","No")</f>
        <v>Si</v>
      </c>
      <c r="K5" s="15">
        <f t="shared" ref="K5:K6" si="5">H5+E5/2</f>
        <v>14.24424695900346</v>
      </c>
      <c r="L5" s="16">
        <v>12</v>
      </c>
      <c r="M5" s="14">
        <f t="shared" ref="M5:M6" si="6">(K5-L5)*D5</f>
        <v>2.2442469590034602</v>
      </c>
    </row>
    <row r="6" spans="1:13" x14ac:dyDescent="0.25">
      <c r="A6" s="10">
        <v>12</v>
      </c>
      <c r="B6" s="11">
        <f t="shared" si="0"/>
        <v>15.770562748477143</v>
      </c>
      <c r="C6" s="12">
        <v>14300</v>
      </c>
      <c r="D6" s="8">
        <v>0.4</v>
      </c>
      <c r="E6" s="11">
        <f>E4</f>
        <v>1.188811188811189</v>
      </c>
      <c r="F6" s="13">
        <v>1</v>
      </c>
      <c r="G6" s="11">
        <v>1</v>
      </c>
      <c r="H6" s="11">
        <f t="shared" si="3"/>
        <v>13.581751559665955</v>
      </c>
      <c r="I6" s="11">
        <v>6</v>
      </c>
      <c r="J6" s="27" t="str">
        <f t="shared" si="4"/>
        <v>Si</v>
      </c>
      <c r="K6" s="11">
        <f t="shared" si="5"/>
        <v>14.17615715407155</v>
      </c>
      <c r="L6" s="11">
        <v>5</v>
      </c>
      <c r="M6" s="14">
        <f t="shared" si="6"/>
        <v>3.6704628616286201</v>
      </c>
    </row>
    <row r="7" spans="1:13" x14ac:dyDescent="0.25">
      <c r="A7" s="17">
        <v>22</v>
      </c>
      <c r="B7" s="18">
        <f>A7*SQRT(2)-1.2</f>
        <v>29.912698372208094</v>
      </c>
      <c r="C7" s="19">
        <v>20800</v>
      </c>
      <c r="D7" s="9">
        <v>2</v>
      </c>
      <c r="E7" s="18">
        <f>D7/(100*C7/1000000)</f>
        <v>0.96153846153846145</v>
      </c>
      <c r="F7" s="20">
        <v>0</v>
      </c>
      <c r="G7" s="18">
        <v>0</v>
      </c>
      <c r="H7" s="18">
        <f>B7-E7-G7</f>
        <v>28.951159910669634</v>
      </c>
      <c r="I7" s="18">
        <v>26.5</v>
      </c>
      <c r="J7" s="21" t="str">
        <f>IF(H7&gt;I7,"Si","No")</f>
        <v>Si</v>
      </c>
      <c r="K7" s="18">
        <f>H7+E7/2</f>
        <v>29.431929141438864</v>
      </c>
      <c r="L7" s="18">
        <v>1.25</v>
      </c>
      <c r="M7" s="22">
        <f>(K7-L7)*D7</f>
        <v>56.363858282877729</v>
      </c>
    </row>
    <row r="8" spans="1:13" ht="48" customHeight="1" x14ac:dyDescent="0.25">
      <c r="A8" s="31"/>
      <c r="B8" s="31" t="s">
        <v>71</v>
      </c>
      <c r="C8" s="44"/>
      <c r="D8" s="44"/>
      <c r="E8" s="31" t="s">
        <v>72</v>
      </c>
      <c r="F8" s="31"/>
      <c r="G8" s="31" t="s">
        <v>68</v>
      </c>
      <c r="H8" s="31" t="s">
        <v>67</v>
      </c>
      <c r="I8" s="44"/>
      <c r="J8" s="44"/>
      <c r="K8" s="44"/>
      <c r="L8" s="44"/>
      <c r="M8" s="44"/>
    </row>
    <row r="9" spans="1:13" ht="15.75" x14ac:dyDescent="0.25">
      <c r="A9" s="48" t="s">
        <v>36</v>
      </c>
      <c r="B9" s="49"/>
      <c r="C9" s="45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x14ac:dyDescent="0.25">
      <c r="A10" s="23" t="s">
        <v>35</v>
      </c>
      <c r="B10" s="24">
        <v>35</v>
      </c>
      <c r="C10" s="45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 x14ac:dyDescent="0.25">
      <c r="A11" s="25" t="s">
        <v>41</v>
      </c>
      <c r="B11" s="26">
        <v>125</v>
      </c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5" customHeight="1" x14ac:dyDescent="0.25">
      <c r="A12" s="58" t="s">
        <v>33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60"/>
    </row>
    <row r="13" spans="1:13" ht="15" customHeight="1" x14ac:dyDescent="0.25">
      <c r="A13" s="6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3"/>
    </row>
    <row r="14" spans="1:13" ht="38.25" x14ac:dyDescent="0.25">
      <c r="A14" s="28" t="s">
        <v>0</v>
      </c>
      <c r="B14" s="29" t="s">
        <v>17</v>
      </c>
      <c r="C14" s="29" t="s">
        <v>32</v>
      </c>
      <c r="D14" s="29" t="s">
        <v>40</v>
      </c>
      <c r="E14" s="29" t="s">
        <v>27</v>
      </c>
      <c r="F14" s="29" t="s">
        <v>28</v>
      </c>
      <c r="G14" s="29" t="s">
        <v>37</v>
      </c>
      <c r="H14" s="29" t="s">
        <v>38</v>
      </c>
      <c r="I14" s="29" t="s">
        <v>42</v>
      </c>
      <c r="J14" s="29" t="s">
        <v>43</v>
      </c>
      <c r="K14" s="29" t="s">
        <v>39</v>
      </c>
      <c r="L14" s="56" t="s">
        <v>47</v>
      </c>
      <c r="M14" s="57"/>
    </row>
    <row r="15" spans="1:13" ht="15" customHeight="1" x14ac:dyDescent="0.25">
      <c r="A15" s="32" t="s">
        <v>44</v>
      </c>
      <c r="B15" s="34">
        <v>1</v>
      </c>
      <c r="C15" s="35">
        <f>(H7-L7-2.5)*B15</f>
        <v>25.201159910669634</v>
      </c>
      <c r="D15" s="36">
        <v>120</v>
      </c>
      <c r="E15" s="40">
        <v>50</v>
      </c>
      <c r="F15" s="40">
        <v>2.5</v>
      </c>
      <c r="G15" s="36">
        <f t="shared" ref="G15:G21" si="7">C15*E15+$B$10</f>
        <v>1295.0579955334817</v>
      </c>
      <c r="H15" s="40">
        <v>1.05</v>
      </c>
      <c r="I15" s="40">
        <f>(D15-$B$10)/C15-F15-H15+0.5</f>
        <v>0.3228606263084266</v>
      </c>
      <c r="J15" s="40">
        <v>0.3</v>
      </c>
      <c r="K15" s="36">
        <f>$B$10+C15*(F15+H15+J15-0.5)</f>
        <v>119.42388570074327</v>
      </c>
      <c r="L15" s="77" t="s">
        <v>46</v>
      </c>
      <c r="M15" s="78"/>
    </row>
    <row r="16" spans="1:13" ht="18.75" customHeight="1" x14ac:dyDescent="0.25">
      <c r="A16" s="32" t="s">
        <v>66</v>
      </c>
      <c r="B16" s="34">
        <v>1</v>
      </c>
      <c r="C16" s="35">
        <f>(H7-L7-2.5)*B16</f>
        <v>25.201159910669634</v>
      </c>
      <c r="D16" s="36">
        <v>120</v>
      </c>
      <c r="E16" s="40">
        <v>50</v>
      </c>
      <c r="F16" s="40">
        <v>2.5</v>
      </c>
      <c r="G16" s="36">
        <f t="shared" si="7"/>
        <v>1295.0579955334817</v>
      </c>
      <c r="H16" s="40">
        <v>1.05</v>
      </c>
      <c r="I16" s="40">
        <f>(D16-$B$10)/C16-F16-H16+0.5</f>
        <v>0.3228606263084266</v>
      </c>
      <c r="J16" s="40">
        <v>0.3</v>
      </c>
      <c r="K16" s="36">
        <f>$B$10+C16*(F16+H16+J16-0.5)</f>
        <v>119.42388570074327</v>
      </c>
      <c r="L16" s="77"/>
      <c r="M16" s="78"/>
    </row>
    <row r="17" spans="1:15" ht="15.75" customHeight="1" x14ac:dyDescent="0.5">
      <c r="A17" s="32" t="s">
        <v>73</v>
      </c>
      <c r="B17" s="34">
        <v>1</v>
      </c>
      <c r="C17" s="35">
        <f>(H7-L7-2.5)*B17</f>
        <v>25.201159910669634</v>
      </c>
      <c r="D17" s="36">
        <v>120</v>
      </c>
      <c r="E17" s="40">
        <v>50</v>
      </c>
      <c r="F17" s="40">
        <v>2.5</v>
      </c>
      <c r="G17" s="36">
        <f>C17*E17+$B$10</f>
        <v>1295.0579955334817</v>
      </c>
      <c r="H17" s="40">
        <v>1.05</v>
      </c>
      <c r="I17" s="40">
        <f>(D17-$B$10)/C17-F17-H17+0.5</f>
        <v>0.3228606263084266</v>
      </c>
      <c r="J17" s="40">
        <v>0.3</v>
      </c>
      <c r="K17" s="36">
        <f>$B$10+C17*(F17+H17+J17-0.5)</f>
        <v>119.42388570074327</v>
      </c>
      <c r="L17" s="77"/>
      <c r="M17" s="78"/>
      <c r="N17" s="7"/>
      <c r="O17" s="7"/>
    </row>
    <row r="18" spans="1:15" ht="15" customHeight="1" x14ac:dyDescent="0.5">
      <c r="A18" s="32" t="s">
        <v>29</v>
      </c>
      <c r="B18" s="34">
        <v>1</v>
      </c>
      <c r="C18" s="35">
        <f>(K5-L5)*B18</f>
        <v>2.2442469590034602</v>
      </c>
      <c r="D18" s="36">
        <v>120</v>
      </c>
      <c r="E18" s="40">
        <v>50</v>
      </c>
      <c r="F18" s="40">
        <v>5</v>
      </c>
      <c r="G18" s="36">
        <f>C18*E18+$B$10</f>
        <v>147.21234795017301</v>
      </c>
      <c r="H18" s="40">
        <v>2</v>
      </c>
      <c r="I18" s="40">
        <f>(D18-$B$10)/C18-F18-H18+0.5</f>
        <v>31.374619662064092</v>
      </c>
      <c r="J18" s="40">
        <v>3.3</v>
      </c>
      <c r="K18" s="36">
        <f>$B$10+C18*(F18+H18+J18-0.5)</f>
        <v>56.993620198233913</v>
      </c>
      <c r="L18" s="77"/>
      <c r="M18" s="78"/>
      <c r="N18" s="7"/>
      <c r="O18" s="7"/>
    </row>
    <row r="19" spans="1:15" ht="15" customHeight="1" x14ac:dyDescent="0.25">
      <c r="A19" s="32" t="s">
        <v>30</v>
      </c>
      <c r="B19" s="34">
        <v>0.4</v>
      </c>
      <c r="C19" s="35">
        <f>(K6-L6)*B19</f>
        <v>3.6704628616286201</v>
      </c>
      <c r="D19" s="36">
        <v>120</v>
      </c>
      <c r="E19" s="40">
        <v>19</v>
      </c>
      <c r="F19" s="40">
        <v>3</v>
      </c>
      <c r="G19" s="36">
        <f>C19*E19+$B$10</f>
        <v>104.73879437094378</v>
      </c>
      <c r="H19" s="40">
        <v>2</v>
      </c>
      <c r="I19" s="40">
        <f t="shared" ref="I19:I20" si="8">(D19-$B$10)/C19-F19-H19+0.5</f>
        <v>18.657842267959815</v>
      </c>
      <c r="J19" s="40">
        <v>3.3</v>
      </c>
      <c r="K19" s="36">
        <f>$B$10+C19*(F19+H19+J19-0.5)</f>
        <v>63.629610320703236</v>
      </c>
      <c r="L19" s="77"/>
      <c r="M19" s="78"/>
    </row>
    <row r="20" spans="1:15" ht="15" customHeight="1" x14ac:dyDescent="0.25">
      <c r="A20" s="33" t="s">
        <v>31</v>
      </c>
      <c r="B20" s="37">
        <v>1</v>
      </c>
      <c r="C20" s="38">
        <f>(K4-L4)*B20</f>
        <v>2.1761571540715501</v>
      </c>
      <c r="D20" s="39">
        <v>120</v>
      </c>
      <c r="E20" s="41">
        <v>50</v>
      </c>
      <c r="F20" s="41">
        <v>5</v>
      </c>
      <c r="G20" s="39">
        <f>C20*E20+$B$10</f>
        <v>143.8078577035775</v>
      </c>
      <c r="H20" s="41">
        <v>2</v>
      </c>
      <c r="I20" s="41">
        <f t="shared" si="8"/>
        <v>32.559679049817959</v>
      </c>
      <c r="J20" s="41">
        <v>3.3</v>
      </c>
      <c r="K20" s="39">
        <f>$B$10+C20*(F20+H20+J20-0.5)</f>
        <v>56.326340109901196</v>
      </c>
      <c r="L20" s="79"/>
      <c r="M20" s="80"/>
    </row>
    <row r="21" spans="1:15" ht="15" customHeight="1" x14ac:dyDescent="0.25">
      <c r="C21" s="6" t="s">
        <v>70</v>
      </c>
      <c r="G21" s="6" t="s">
        <v>65</v>
      </c>
    </row>
    <row r="22" spans="1:15" x14ac:dyDescent="0.25">
      <c r="A22" s="43"/>
      <c r="B22" s="43"/>
      <c r="D22" s="43"/>
      <c r="E22" s="43"/>
      <c r="F22" s="43"/>
      <c r="H22" s="64"/>
      <c r="I22" s="64"/>
      <c r="J22" s="64"/>
      <c r="K22" s="64"/>
      <c r="L22" s="64"/>
      <c r="M22" s="64"/>
    </row>
    <row r="23" spans="1:15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5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5" spans="1:15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</row>
    <row r="27" spans="1:15" ht="15" customHeight="1" x14ac:dyDescent="0.25"/>
  </sheetData>
  <mergeCells count="12">
    <mergeCell ref="L14:M14"/>
    <mergeCell ref="A12:M13"/>
    <mergeCell ref="H22:M22"/>
    <mergeCell ref="D22:F22"/>
    <mergeCell ref="L15:M20"/>
    <mergeCell ref="C8:D8"/>
    <mergeCell ref="I8:M8"/>
    <mergeCell ref="C9:M11"/>
    <mergeCell ref="A9:B9"/>
    <mergeCell ref="A1:M2"/>
    <mergeCell ref="A23:M25"/>
    <mergeCell ref="A22:B22"/>
  </mergeCells>
  <conditionalFormatting sqref="G15:G16 K15:K16 G18:G20 K18:K20">
    <cfRule type="cellIs" dxfId="3" priority="9" operator="lessThan">
      <formula>$D$15</formula>
    </cfRule>
    <cfRule type="cellIs" dxfId="2" priority="10" operator="greaterThan">
      <formula>$D$15</formula>
    </cfRule>
  </conditionalFormatting>
  <conditionalFormatting sqref="G17 K17">
    <cfRule type="cellIs" dxfId="1" priority="1" operator="lessThan">
      <formula>$D$15</formula>
    </cfRule>
    <cfRule type="cellIs" dxfId="0" priority="2" operator="greaterThan">
      <formula>$D$15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9" sqref="E9"/>
    </sheetView>
  </sheetViews>
  <sheetFormatPr baseColWidth="10" defaultRowHeight="15" x14ac:dyDescent="0.25"/>
  <cols>
    <col min="5" max="5" width="13.28515625" bestFit="1" customWidth="1"/>
  </cols>
  <sheetData>
    <row r="1" spans="1:9" x14ac:dyDescent="0.25">
      <c r="A1" s="65" t="s">
        <v>49</v>
      </c>
      <c r="B1" s="65"/>
      <c r="C1" s="65"/>
      <c r="D1" s="65"/>
      <c r="E1" s="65"/>
      <c r="F1" s="65"/>
      <c r="G1" s="65"/>
      <c r="H1" s="65"/>
      <c r="I1" s="65"/>
    </row>
    <row r="2" spans="1:9" x14ac:dyDescent="0.25">
      <c r="A2" s="65"/>
      <c r="B2" s="65"/>
      <c r="C2" s="65"/>
      <c r="D2" s="65"/>
      <c r="E2" s="65"/>
      <c r="F2" s="65"/>
      <c r="G2" s="65"/>
      <c r="H2" s="65"/>
      <c r="I2" s="65"/>
    </row>
    <row r="4" spans="1:9" x14ac:dyDescent="0.25">
      <c r="A4" t="s">
        <v>52</v>
      </c>
      <c r="B4" t="s">
        <v>53</v>
      </c>
      <c r="C4" t="s">
        <v>50</v>
      </c>
      <c r="D4" t="s">
        <v>54</v>
      </c>
      <c r="E4" t="s">
        <v>55</v>
      </c>
      <c r="F4" t="s">
        <v>56</v>
      </c>
      <c r="G4" t="s">
        <v>51</v>
      </c>
    </row>
    <row r="5" spans="1:9" x14ac:dyDescent="0.25">
      <c r="A5">
        <v>2</v>
      </c>
      <c r="B5">
        <v>4</v>
      </c>
      <c r="C5">
        <f>B5/A5</f>
        <v>2</v>
      </c>
      <c r="D5">
        <v>10000</v>
      </c>
      <c r="E5">
        <f>$C$5*D5</f>
        <v>20000</v>
      </c>
      <c r="F5">
        <v>20000</v>
      </c>
      <c r="G5">
        <f>F5/D5</f>
        <v>2</v>
      </c>
    </row>
    <row r="6" spans="1:9" x14ac:dyDescent="0.25">
      <c r="A6">
        <v>1</v>
      </c>
      <c r="B6">
        <v>4</v>
      </c>
      <c r="C6">
        <f t="shared" ref="C6:C8" si="0">B6/A6</f>
        <v>4</v>
      </c>
      <c r="D6">
        <v>1000</v>
      </c>
      <c r="E6">
        <f>C6*D6</f>
        <v>4000</v>
      </c>
      <c r="F6">
        <v>4000</v>
      </c>
      <c r="G6">
        <f t="shared" ref="G6:G9" si="1">F6/D6</f>
        <v>4</v>
      </c>
    </row>
    <row r="7" spans="1:9" x14ac:dyDescent="0.25">
      <c r="A7">
        <v>1</v>
      </c>
      <c r="B7">
        <v>4</v>
      </c>
      <c r="C7">
        <f t="shared" si="0"/>
        <v>4</v>
      </c>
      <c r="D7">
        <v>1000</v>
      </c>
      <c r="E7">
        <f t="shared" ref="E7:E9" si="2">C7*D7</f>
        <v>4000</v>
      </c>
      <c r="F7">
        <v>4000</v>
      </c>
      <c r="G7">
        <f t="shared" si="1"/>
        <v>4</v>
      </c>
    </row>
    <row r="8" spans="1:9" x14ac:dyDescent="0.25">
      <c r="A8">
        <v>1</v>
      </c>
      <c r="B8">
        <v>4</v>
      </c>
      <c r="C8">
        <f t="shared" si="0"/>
        <v>4</v>
      </c>
      <c r="D8">
        <v>1000</v>
      </c>
      <c r="E8">
        <f t="shared" si="2"/>
        <v>4000</v>
      </c>
      <c r="F8">
        <v>4000</v>
      </c>
      <c r="G8">
        <f t="shared" si="1"/>
        <v>4</v>
      </c>
    </row>
    <row r="9" spans="1:9" x14ac:dyDescent="0.25">
      <c r="A9">
        <v>4.0960000000000001</v>
      </c>
      <c r="B9">
        <v>23.75</v>
      </c>
      <c r="C9">
        <f>B9/A9-1</f>
        <v>4.79833984375</v>
      </c>
      <c r="D9">
        <v>10000</v>
      </c>
      <c r="E9">
        <f t="shared" si="2"/>
        <v>47983.3984375</v>
      </c>
      <c r="F9">
        <v>8600</v>
      </c>
      <c r="G9">
        <f t="shared" si="1"/>
        <v>0.86</v>
      </c>
      <c r="H9" t="s">
        <v>57</v>
      </c>
    </row>
  </sheetData>
  <mergeCells count="1">
    <mergeCell ref="A1:I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13" sqref="E13"/>
    </sheetView>
  </sheetViews>
  <sheetFormatPr baseColWidth="10" defaultRowHeight="15" x14ac:dyDescent="0.25"/>
  <cols>
    <col min="1" max="1" width="11.7109375" bestFit="1" customWidth="1"/>
    <col min="2" max="2" width="14.5703125" bestFit="1" customWidth="1"/>
    <col min="3" max="3" width="12.5703125" bestFit="1" customWidth="1"/>
    <col min="4" max="4" width="15.28515625" bestFit="1" customWidth="1"/>
    <col min="5" max="5" width="13.28515625" bestFit="1" customWidth="1"/>
  </cols>
  <sheetData>
    <row r="1" spans="1:8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66" t="s">
        <v>12</v>
      </c>
      <c r="G1" s="67"/>
      <c r="H1" s="68"/>
    </row>
    <row r="2" spans="1:8" x14ac:dyDescent="0.25">
      <c r="A2" s="1" t="s">
        <v>4</v>
      </c>
      <c r="B2" s="2" t="s">
        <v>45</v>
      </c>
      <c r="C2" s="3" t="s">
        <v>8</v>
      </c>
      <c r="D2" s="4" t="s">
        <v>13</v>
      </c>
      <c r="E2" s="5" t="s">
        <v>48</v>
      </c>
      <c r="F2" s="69"/>
      <c r="G2" s="70"/>
      <c r="H2" s="71"/>
    </row>
    <row r="3" spans="1:8" x14ac:dyDescent="0.25">
      <c r="A3" s="1"/>
      <c r="B3" s="2" t="s">
        <v>74</v>
      </c>
      <c r="C3" s="3" t="s">
        <v>8</v>
      </c>
      <c r="D3" s="4" t="s">
        <v>11</v>
      </c>
      <c r="E3" s="5" t="s">
        <v>75</v>
      </c>
      <c r="F3" s="69"/>
      <c r="G3" s="70"/>
      <c r="H3" s="71"/>
    </row>
    <row r="4" spans="1:8" x14ac:dyDescent="0.25">
      <c r="A4" s="1"/>
      <c r="B4" s="2"/>
      <c r="C4" s="3"/>
      <c r="D4" s="4"/>
      <c r="E4" s="5"/>
      <c r="F4" s="69"/>
      <c r="G4" s="70"/>
      <c r="H4" s="71"/>
    </row>
    <row r="5" spans="1:8" x14ac:dyDescent="0.25">
      <c r="A5" s="1"/>
      <c r="B5" s="2">
        <v>7912</v>
      </c>
      <c r="C5" s="3" t="s">
        <v>7</v>
      </c>
      <c r="D5" s="4" t="s">
        <v>11</v>
      </c>
      <c r="E5" s="5" t="s">
        <v>10</v>
      </c>
      <c r="F5" s="69"/>
      <c r="G5" s="70"/>
      <c r="H5" s="71"/>
    </row>
    <row r="6" spans="1:8" x14ac:dyDescent="0.25">
      <c r="A6" s="1" t="s">
        <v>6</v>
      </c>
      <c r="B6" s="2">
        <v>7805</v>
      </c>
      <c r="C6" s="3" t="s">
        <v>9</v>
      </c>
      <c r="D6" s="4" t="s">
        <v>11</v>
      </c>
      <c r="E6" s="5" t="s">
        <v>9</v>
      </c>
      <c r="F6" s="69"/>
      <c r="G6" s="70"/>
      <c r="H6" s="71"/>
    </row>
    <row r="7" spans="1:8" x14ac:dyDescent="0.25">
      <c r="A7" s="1"/>
      <c r="B7" s="2">
        <v>7812</v>
      </c>
      <c r="C7" s="3" t="s">
        <v>10</v>
      </c>
      <c r="D7" s="4" t="s">
        <v>11</v>
      </c>
      <c r="E7" s="5" t="s">
        <v>10</v>
      </c>
      <c r="F7" s="69"/>
      <c r="G7" s="70"/>
      <c r="H7" s="71"/>
    </row>
    <row r="8" spans="1:8" x14ac:dyDescent="0.25">
      <c r="A8" s="1"/>
      <c r="B8" s="2"/>
      <c r="C8" s="3"/>
      <c r="D8" s="4" t="s">
        <v>14</v>
      </c>
      <c r="E8" s="5" t="s">
        <v>76</v>
      </c>
      <c r="F8" s="72"/>
      <c r="G8" s="73"/>
      <c r="H8" s="74"/>
    </row>
  </sheetData>
  <mergeCells count="1">
    <mergeCell ref="F1:H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23" sqref="H23"/>
    </sheetView>
  </sheetViews>
  <sheetFormatPr baseColWidth="10" defaultRowHeight="15" x14ac:dyDescent="0.25"/>
  <cols>
    <col min="6" max="6" width="12" bestFit="1" customWidth="1"/>
  </cols>
  <sheetData>
    <row r="1" spans="1:11" x14ac:dyDescent="0.25">
      <c r="A1" s="75" t="s">
        <v>58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x14ac:dyDescent="0.25">
      <c r="A3" t="s">
        <v>53</v>
      </c>
      <c r="B3" t="s">
        <v>60</v>
      </c>
      <c r="C3" t="s">
        <v>59</v>
      </c>
      <c r="D3" t="s">
        <v>61</v>
      </c>
      <c r="E3" t="s">
        <v>62</v>
      </c>
      <c r="F3" t="s">
        <v>64</v>
      </c>
    </row>
    <row r="4" spans="1:11" x14ac:dyDescent="0.25">
      <c r="A4">
        <v>25</v>
      </c>
      <c r="B4">
        <v>2</v>
      </c>
      <c r="C4">
        <f>A4-1.25</f>
        <v>23.75</v>
      </c>
      <c r="D4">
        <f>B4*0.5</f>
        <v>1</v>
      </c>
      <c r="E4">
        <f>A4-D4</f>
        <v>24</v>
      </c>
      <c r="F4">
        <f>E4/B4</f>
        <v>12</v>
      </c>
    </row>
    <row r="5" spans="1:11" x14ac:dyDescent="0.25">
      <c r="A5">
        <v>25</v>
      </c>
      <c r="B5">
        <v>1.5</v>
      </c>
      <c r="C5">
        <f t="shared" ref="C5:C28" si="0">A5-1.25</f>
        <v>23.75</v>
      </c>
      <c r="D5">
        <f t="shared" ref="D5:D28" si="1">B5*0.5</f>
        <v>0.75</v>
      </c>
      <c r="E5">
        <f t="shared" ref="E5:E28" si="2">A5-D5</f>
        <v>24.25</v>
      </c>
      <c r="F5">
        <f t="shared" ref="F5:F27" si="3">E5/B5</f>
        <v>16.166666666666668</v>
      </c>
    </row>
    <row r="6" spans="1:11" x14ac:dyDescent="0.25">
      <c r="A6">
        <v>25</v>
      </c>
      <c r="B6">
        <v>1</v>
      </c>
      <c r="C6">
        <f t="shared" si="0"/>
        <v>23.75</v>
      </c>
      <c r="D6">
        <f t="shared" si="1"/>
        <v>0.5</v>
      </c>
      <c r="E6">
        <f t="shared" si="2"/>
        <v>24.5</v>
      </c>
      <c r="F6">
        <f t="shared" si="3"/>
        <v>24.5</v>
      </c>
    </row>
    <row r="7" spans="1:11" x14ac:dyDescent="0.25">
      <c r="A7">
        <v>25</v>
      </c>
      <c r="B7">
        <v>0.5</v>
      </c>
      <c r="C7">
        <f t="shared" si="0"/>
        <v>23.75</v>
      </c>
      <c r="D7">
        <f t="shared" si="1"/>
        <v>0.25</v>
      </c>
      <c r="E7">
        <f t="shared" si="2"/>
        <v>24.75</v>
      </c>
      <c r="F7">
        <f t="shared" si="3"/>
        <v>49.5</v>
      </c>
    </row>
    <row r="8" spans="1:11" x14ac:dyDescent="0.25">
      <c r="A8">
        <v>25</v>
      </c>
      <c r="B8">
        <v>0</v>
      </c>
      <c r="C8">
        <f t="shared" si="0"/>
        <v>23.75</v>
      </c>
      <c r="D8">
        <f t="shared" si="1"/>
        <v>0</v>
      </c>
      <c r="E8">
        <f t="shared" si="2"/>
        <v>25</v>
      </c>
    </row>
    <row r="9" spans="1:11" x14ac:dyDescent="0.25">
      <c r="A9">
        <v>15</v>
      </c>
      <c r="B9">
        <v>2</v>
      </c>
      <c r="C9">
        <f t="shared" si="0"/>
        <v>13.75</v>
      </c>
      <c r="D9">
        <f t="shared" si="1"/>
        <v>1</v>
      </c>
      <c r="E9">
        <f t="shared" si="2"/>
        <v>14</v>
      </c>
      <c r="F9">
        <f t="shared" si="3"/>
        <v>7</v>
      </c>
    </row>
    <row r="10" spans="1:11" x14ac:dyDescent="0.25">
      <c r="A10">
        <v>15</v>
      </c>
      <c r="B10">
        <v>1.5</v>
      </c>
      <c r="C10">
        <f t="shared" si="0"/>
        <v>13.75</v>
      </c>
      <c r="D10">
        <f t="shared" si="1"/>
        <v>0.75</v>
      </c>
      <c r="E10">
        <f t="shared" si="2"/>
        <v>14.25</v>
      </c>
      <c r="F10">
        <f t="shared" si="3"/>
        <v>9.5</v>
      </c>
    </row>
    <row r="11" spans="1:11" x14ac:dyDescent="0.25">
      <c r="A11">
        <v>15</v>
      </c>
      <c r="B11">
        <v>1</v>
      </c>
      <c r="C11">
        <f t="shared" si="0"/>
        <v>13.75</v>
      </c>
      <c r="D11">
        <f t="shared" si="1"/>
        <v>0.5</v>
      </c>
      <c r="E11">
        <f t="shared" si="2"/>
        <v>14.5</v>
      </c>
      <c r="F11">
        <f t="shared" si="3"/>
        <v>14.5</v>
      </c>
    </row>
    <row r="12" spans="1:11" x14ac:dyDescent="0.25">
      <c r="A12">
        <v>15</v>
      </c>
      <c r="B12">
        <v>0.5</v>
      </c>
      <c r="C12">
        <f t="shared" si="0"/>
        <v>13.75</v>
      </c>
      <c r="D12">
        <f t="shared" si="1"/>
        <v>0.25</v>
      </c>
      <c r="E12">
        <f t="shared" si="2"/>
        <v>14.75</v>
      </c>
      <c r="F12">
        <f t="shared" si="3"/>
        <v>29.5</v>
      </c>
    </row>
    <row r="13" spans="1:11" x14ac:dyDescent="0.25">
      <c r="A13">
        <v>15</v>
      </c>
      <c r="B13">
        <v>0</v>
      </c>
      <c r="C13">
        <f t="shared" si="0"/>
        <v>13.75</v>
      </c>
      <c r="D13">
        <f t="shared" si="1"/>
        <v>0</v>
      </c>
      <c r="E13">
        <f t="shared" si="2"/>
        <v>15</v>
      </c>
    </row>
    <row r="14" spans="1:11" x14ac:dyDescent="0.25">
      <c r="A14">
        <v>10</v>
      </c>
      <c r="B14">
        <v>2</v>
      </c>
      <c r="C14">
        <f t="shared" si="0"/>
        <v>8.75</v>
      </c>
      <c r="D14">
        <f t="shared" si="1"/>
        <v>1</v>
      </c>
      <c r="E14">
        <f t="shared" si="2"/>
        <v>9</v>
      </c>
      <c r="F14">
        <f t="shared" si="3"/>
        <v>4.5</v>
      </c>
    </row>
    <row r="15" spans="1:11" x14ac:dyDescent="0.25">
      <c r="A15">
        <v>10</v>
      </c>
      <c r="B15">
        <v>1.5</v>
      </c>
      <c r="C15">
        <f t="shared" si="0"/>
        <v>8.75</v>
      </c>
      <c r="D15">
        <f t="shared" si="1"/>
        <v>0.75</v>
      </c>
      <c r="E15">
        <f t="shared" si="2"/>
        <v>9.25</v>
      </c>
      <c r="F15">
        <f t="shared" si="3"/>
        <v>6.166666666666667</v>
      </c>
    </row>
    <row r="16" spans="1:11" x14ac:dyDescent="0.25">
      <c r="A16">
        <v>10</v>
      </c>
      <c r="B16">
        <v>1</v>
      </c>
      <c r="C16">
        <f t="shared" si="0"/>
        <v>8.75</v>
      </c>
      <c r="D16">
        <f t="shared" si="1"/>
        <v>0.5</v>
      </c>
      <c r="E16">
        <f t="shared" si="2"/>
        <v>9.5</v>
      </c>
      <c r="F16">
        <f t="shared" si="3"/>
        <v>9.5</v>
      </c>
    </row>
    <row r="17" spans="1:6" x14ac:dyDescent="0.25">
      <c r="A17">
        <v>10</v>
      </c>
      <c r="B17">
        <v>0.5</v>
      </c>
      <c r="C17">
        <f t="shared" si="0"/>
        <v>8.75</v>
      </c>
      <c r="D17">
        <f t="shared" si="1"/>
        <v>0.25</v>
      </c>
      <c r="E17">
        <f t="shared" si="2"/>
        <v>9.75</v>
      </c>
      <c r="F17">
        <f t="shared" si="3"/>
        <v>19.5</v>
      </c>
    </row>
    <row r="18" spans="1:6" x14ac:dyDescent="0.25">
      <c r="A18">
        <v>10</v>
      </c>
      <c r="B18">
        <v>0</v>
      </c>
      <c r="C18">
        <f t="shared" si="0"/>
        <v>8.75</v>
      </c>
      <c r="D18">
        <f t="shared" si="1"/>
        <v>0</v>
      </c>
      <c r="E18">
        <f t="shared" si="2"/>
        <v>10</v>
      </c>
    </row>
    <row r="19" spans="1:6" x14ac:dyDescent="0.25">
      <c r="A19">
        <v>5</v>
      </c>
      <c r="B19">
        <v>2</v>
      </c>
      <c r="C19">
        <f t="shared" si="0"/>
        <v>3.75</v>
      </c>
      <c r="D19">
        <f t="shared" si="1"/>
        <v>1</v>
      </c>
      <c r="E19">
        <f t="shared" si="2"/>
        <v>4</v>
      </c>
      <c r="F19">
        <f t="shared" si="3"/>
        <v>2</v>
      </c>
    </row>
    <row r="20" spans="1:6" x14ac:dyDescent="0.25">
      <c r="A20">
        <v>5</v>
      </c>
      <c r="B20">
        <v>1.5</v>
      </c>
      <c r="C20">
        <f t="shared" si="0"/>
        <v>3.75</v>
      </c>
      <c r="D20">
        <f t="shared" si="1"/>
        <v>0.75</v>
      </c>
      <c r="E20">
        <f t="shared" si="2"/>
        <v>4.25</v>
      </c>
      <c r="F20">
        <f t="shared" si="3"/>
        <v>2.8333333333333335</v>
      </c>
    </row>
    <row r="21" spans="1:6" x14ac:dyDescent="0.25">
      <c r="A21">
        <v>5</v>
      </c>
      <c r="B21">
        <v>1</v>
      </c>
      <c r="C21">
        <f t="shared" si="0"/>
        <v>3.75</v>
      </c>
      <c r="D21">
        <f t="shared" si="1"/>
        <v>0.5</v>
      </c>
      <c r="E21">
        <f t="shared" si="2"/>
        <v>4.5</v>
      </c>
      <c r="F21">
        <f t="shared" si="3"/>
        <v>4.5</v>
      </c>
    </row>
    <row r="22" spans="1:6" x14ac:dyDescent="0.25">
      <c r="A22">
        <v>5</v>
      </c>
      <c r="B22">
        <v>0.5</v>
      </c>
      <c r="C22">
        <f t="shared" si="0"/>
        <v>3.75</v>
      </c>
      <c r="D22">
        <f t="shared" si="1"/>
        <v>0.25</v>
      </c>
      <c r="E22">
        <f t="shared" si="2"/>
        <v>4.75</v>
      </c>
      <c r="F22">
        <f t="shared" si="3"/>
        <v>9.5</v>
      </c>
    </row>
    <row r="23" spans="1:6" x14ac:dyDescent="0.25">
      <c r="A23">
        <v>5</v>
      </c>
      <c r="B23">
        <v>0</v>
      </c>
      <c r="C23">
        <f t="shared" si="0"/>
        <v>3.75</v>
      </c>
      <c r="D23">
        <f t="shared" si="1"/>
        <v>0</v>
      </c>
      <c r="E23">
        <f t="shared" si="2"/>
        <v>5</v>
      </c>
    </row>
    <row r="24" spans="1:6" x14ac:dyDescent="0.25">
      <c r="A24">
        <v>1.25</v>
      </c>
      <c r="B24">
        <v>2</v>
      </c>
      <c r="C24">
        <f t="shared" si="0"/>
        <v>0</v>
      </c>
      <c r="D24">
        <f t="shared" si="1"/>
        <v>1</v>
      </c>
      <c r="E24">
        <f t="shared" si="2"/>
        <v>0.25</v>
      </c>
      <c r="F24">
        <f t="shared" si="3"/>
        <v>0.125</v>
      </c>
    </row>
    <row r="25" spans="1:6" x14ac:dyDescent="0.25">
      <c r="A25">
        <v>1.25</v>
      </c>
      <c r="B25">
        <v>1.5</v>
      </c>
      <c r="C25">
        <f t="shared" si="0"/>
        <v>0</v>
      </c>
      <c r="D25">
        <f t="shared" si="1"/>
        <v>0.75</v>
      </c>
      <c r="E25">
        <f t="shared" si="2"/>
        <v>0.5</v>
      </c>
      <c r="F25">
        <f t="shared" si="3"/>
        <v>0.33333333333333331</v>
      </c>
    </row>
    <row r="26" spans="1:6" x14ac:dyDescent="0.25">
      <c r="A26">
        <v>1.25</v>
      </c>
      <c r="B26">
        <v>1</v>
      </c>
      <c r="C26">
        <f t="shared" si="0"/>
        <v>0</v>
      </c>
      <c r="D26">
        <f t="shared" si="1"/>
        <v>0.5</v>
      </c>
      <c r="E26">
        <f t="shared" si="2"/>
        <v>0.75</v>
      </c>
      <c r="F26">
        <f t="shared" si="3"/>
        <v>0.75</v>
      </c>
    </row>
    <row r="27" spans="1:6" x14ac:dyDescent="0.25">
      <c r="A27">
        <v>1.25</v>
      </c>
      <c r="B27">
        <v>0.5</v>
      </c>
      <c r="C27">
        <f t="shared" si="0"/>
        <v>0</v>
      </c>
      <c r="D27">
        <f t="shared" si="1"/>
        <v>0.25</v>
      </c>
      <c r="E27">
        <f t="shared" si="2"/>
        <v>1</v>
      </c>
      <c r="F27">
        <f t="shared" si="3"/>
        <v>2</v>
      </c>
    </row>
    <row r="28" spans="1:6" x14ac:dyDescent="0.25">
      <c r="A28">
        <v>1.25</v>
      </c>
      <c r="B28">
        <v>0</v>
      </c>
      <c r="C28">
        <f t="shared" si="0"/>
        <v>0</v>
      </c>
      <c r="D28">
        <f t="shared" si="1"/>
        <v>0</v>
      </c>
      <c r="E28">
        <f t="shared" si="2"/>
        <v>1.25</v>
      </c>
    </row>
    <row r="29" spans="1:6" x14ac:dyDescent="0.25">
      <c r="A29" s="76" t="s">
        <v>63</v>
      </c>
      <c r="B29" s="76"/>
      <c r="C29" s="76"/>
      <c r="D29" s="76"/>
      <c r="E29" s="76"/>
    </row>
    <row r="30" spans="1:6" x14ac:dyDescent="0.25">
      <c r="A30" s="76"/>
      <c r="B30" s="76"/>
      <c r="C30" s="76"/>
      <c r="D30" s="76"/>
      <c r="E30" s="76"/>
    </row>
    <row r="31" spans="1:6" x14ac:dyDescent="0.25">
      <c r="A31" s="76"/>
      <c r="B31" s="76"/>
      <c r="C31" s="76"/>
      <c r="D31" s="76"/>
      <c r="E31" s="76"/>
    </row>
    <row r="32" spans="1:6" x14ac:dyDescent="0.25">
      <c r="A32" s="76"/>
      <c r="B32" s="76"/>
      <c r="C32" s="76"/>
      <c r="D32" s="76"/>
      <c r="E32" s="76"/>
    </row>
    <row r="33" spans="1:5" x14ac:dyDescent="0.25">
      <c r="A33" s="76"/>
      <c r="B33" s="76"/>
      <c r="C33" s="76"/>
      <c r="D33" s="76"/>
      <c r="E33" s="76"/>
    </row>
    <row r="34" spans="1:5" x14ac:dyDescent="0.25">
      <c r="A34" s="76"/>
      <c r="B34" s="76"/>
      <c r="C34" s="76"/>
      <c r="D34" s="76"/>
      <c r="E34" s="76"/>
    </row>
    <row r="35" spans="1:5" x14ac:dyDescent="0.25">
      <c r="A35" s="76"/>
      <c r="B35" s="76"/>
      <c r="C35" s="76"/>
      <c r="D35" s="76"/>
      <c r="E35" s="76"/>
    </row>
  </sheetData>
  <mergeCells count="2">
    <mergeCell ref="A1:K2"/>
    <mergeCell ref="A29:E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Calculos de Voltaje</vt:lpstr>
      <vt:lpstr>Calculos de ganancias</vt:lpstr>
      <vt:lpstr>Potencias de salida</vt:lpstr>
      <vt:lpstr>Calculos de reistencia simular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Walter Philippeaux</dc:creator>
  <cp:lastModifiedBy>Enrique Walter Philippeaux</cp:lastModifiedBy>
  <cp:lastPrinted>2017-09-04T18:31:59Z</cp:lastPrinted>
  <dcterms:created xsi:type="dcterms:W3CDTF">2017-09-02T18:52:10Z</dcterms:created>
  <dcterms:modified xsi:type="dcterms:W3CDTF">2017-09-12T18:34:09Z</dcterms:modified>
</cp:coreProperties>
</file>