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/>
  <mc:AlternateContent xmlns:mc="http://schemas.openxmlformats.org/markup-compatibility/2006">
    <mc:Choice Requires="x15">
      <x15ac:absPath xmlns:x15ac="http://schemas.microsoft.com/office/spreadsheetml/2010/11/ac" url="https://d.docs.live.net/854592ecf23171d5/Python Planilhas/NOVA BIBLIOTECA/"/>
    </mc:Choice>
  </mc:AlternateContent>
  <xr:revisionPtr revIDLastSave="0" documentId="8_{FF18C1E3-13DB-46FD-A106-126CE1B831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🎯 Análise Estratégica" sheetId="1" r:id="rId1"/>
    <sheet name="📊 Comparativo Fornecedores" sheetId="2" r:id="rId2"/>
    <sheet name="🚛 Simulador Carregamento" sheetId="3" r:id="rId3"/>
    <sheet name="🛣️ Análise Frete" sheetId="4" r:id="rId4"/>
    <sheet name="🔍 Controle Qualidade" sheetId="5" r:id="rId5"/>
    <sheet name="📋 Dados Fornecedores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D13" i="1"/>
  <c r="K13" i="4"/>
  <c r="K12" i="4"/>
  <c r="K11" i="4"/>
  <c r="K10" i="4"/>
  <c r="K9" i="4"/>
  <c r="K8" i="4"/>
  <c r="G21" i="3"/>
  <c r="H21" i="3"/>
  <c r="E21" i="3"/>
  <c r="I21" i="3"/>
  <c r="J21" i="3"/>
  <c r="G20" i="3"/>
  <c r="H20" i="3"/>
  <c r="E20" i="3"/>
  <c r="I20" i="3"/>
  <c r="J20" i="3"/>
  <c r="G19" i="3"/>
  <c r="H19" i="3"/>
  <c r="E19" i="3"/>
  <c r="I19" i="3"/>
  <c r="J19" i="3"/>
  <c r="G18" i="3"/>
  <c r="H18" i="3"/>
  <c r="E18" i="3"/>
  <c r="I18" i="3"/>
  <c r="J18" i="3"/>
  <c r="G17" i="3"/>
  <c r="H17" i="3"/>
  <c r="E17" i="3"/>
  <c r="I17" i="3"/>
  <c r="J17" i="3"/>
  <c r="J11" i="2"/>
  <c r="L11" i="2"/>
  <c r="M11" i="2"/>
  <c r="J10" i="2"/>
  <c r="K10" i="2"/>
  <c r="M10" i="2"/>
  <c r="J9" i="2"/>
  <c r="K9" i="2"/>
  <c r="L9" i="2"/>
  <c r="M9" i="2"/>
  <c r="J8" i="2"/>
  <c r="L8" i="2"/>
  <c r="M8" i="2"/>
  <c r="J7" i="2"/>
  <c r="K7" i="2"/>
  <c r="M7" i="2"/>
  <c r="J6" i="2"/>
  <c r="K6" i="2"/>
  <c r="L6" i="2"/>
  <c r="M6" i="2"/>
  <c r="D14" i="1"/>
  <c r="D15" i="1"/>
  <c r="D16" i="1"/>
  <c r="C18" i="1"/>
  <c r="D17" i="1"/>
  <c r="D18" i="1"/>
  <c r="C40" i="1"/>
  <c r="C39" i="1"/>
  <c r="C38" i="1"/>
  <c r="C37" i="1"/>
  <c r="C36" i="1"/>
  <c r="O13" i="1"/>
  <c r="I13" i="1"/>
  <c r="N13" i="1"/>
  <c r="P13" i="1"/>
  <c r="C35" i="1"/>
  <c r="D25" i="1"/>
  <c r="I25" i="1"/>
  <c r="D26" i="1"/>
  <c r="I26" i="1"/>
  <c r="D27" i="1"/>
  <c r="I27" i="1"/>
  <c r="D28" i="1"/>
  <c r="I28" i="1"/>
  <c r="D29" i="1"/>
  <c r="I29" i="1"/>
  <c r="C34" i="1"/>
  <c r="O17" i="1"/>
  <c r="I17" i="1"/>
  <c r="N17" i="1"/>
  <c r="P17" i="1"/>
  <c r="J29" i="1"/>
  <c r="K29" i="1"/>
  <c r="G29" i="1"/>
  <c r="F29" i="1"/>
  <c r="E29" i="1"/>
  <c r="C29" i="1"/>
  <c r="B29" i="1"/>
  <c r="O16" i="1"/>
  <c r="I16" i="1"/>
  <c r="N16" i="1"/>
  <c r="P16" i="1"/>
  <c r="J28" i="1"/>
  <c r="K28" i="1"/>
  <c r="G28" i="1"/>
  <c r="F28" i="1"/>
  <c r="E28" i="1"/>
  <c r="C28" i="1"/>
  <c r="B28" i="1"/>
  <c r="O15" i="1"/>
  <c r="I15" i="1"/>
  <c r="N15" i="1"/>
  <c r="P15" i="1"/>
  <c r="J27" i="1"/>
  <c r="K27" i="1"/>
  <c r="G27" i="1"/>
  <c r="F27" i="1"/>
  <c r="E27" i="1"/>
  <c r="C27" i="1"/>
  <c r="B27" i="1"/>
  <c r="O14" i="1"/>
  <c r="I14" i="1"/>
  <c r="N14" i="1"/>
  <c r="P14" i="1"/>
  <c r="J26" i="1"/>
  <c r="K26" i="1"/>
  <c r="G26" i="1"/>
  <c r="F26" i="1"/>
  <c r="E26" i="1"/>
  <c r="C26" i="1"/>
  <c r="B26" i="1"/>
  <c r="J25" i="1"/>
  <c r="K25" i="1"/>
  <c r="G25" i="1"/>
  <c r="F25" i="1"/>
  <c r="E25" i="1"/>
  <c r="C25" i="1"/>
  <c r="B25" i="1"/>
  <c r="P18" i="1"/>
  <c r="O18" i="1"/>
  <c r="H18" i="1"/>
  <c r="M17" i="1"/>
  <c r="K17" i="1"/>
  <c r="M16" i="1"/>
  <c r="K16" i="1"/>
  <c r="M15" i="1"/>
  <c r="K15" i="1"/>
  <c r="M14" i="1"/>
  <c r="K14" i="1"/>
  <c r="M13" i="1"/>
  <c r="K13" i="1"/>
  <c r="C9" i="1"/>
</calcChain>
</file>

<file path=xl/sharedStrings.xml><?xml version="1.0" encoding="utf-8"?>
<sst xmlns="http://schemas.openxmlformats.org/spreadsheetml/2006/main" count="360" uniqueCount="217">
  <si>
    <t>🎯 ANÁLISE ESTRATÉGICA DE COMPRA - ENSIDE MADEIRAS</t>
  </si>
  <si>
    <t>📦 DADOS DO CARREGAMENTO</t>
  </si>
  <si>
    <t>EMBARQUE:</t>
  </si>
  <si>
    <t>MANDIRITUBA</t>
  </si>
  <si>
    <t>PR</t>
  </si>
  <si>
    <t>DESTINO:</t>
  </si>
  <si>
    <t>RIO POMBA</t>
  </si>
  <si>
    <t>MG</t>
  </si>
  <si>
    <t>DISTÂNCIA:</t>
  </si>
  <si>
    <t>KM</t>
  </si>
  <si>
    <t>FRETE CONTRATADO:</t>
  </si>
  <si>
    <t>VALOR POR KM:</t>
  </si>
  <si>
    <t>PRODUTO</t>
  </si>
  <si>
    <t>QTD PEÇAS</t>
  </si>
  <si>
    <t>M3/PEÇA</t>
  </si>
  <si>
    <t>TOTAL M3</t>
  </si>
  <si>
    <t>ESP.</t>
  </si>
  <si>
    <t>LARG.</t>
  </si>
  <si>
    <t>COMP.</t>
  </si>
  <si>
    <t>TONELADA</t>
  </si>
  <si>
    <t>FRETE/TON</t>
  </si>
  <si>
    <t>PESO MÉD</t>
  </si>
  <si>
    <t>PROD.%</t>
  </si>
  <si>
    <t>PREÇO UNIT</t>
  </si>
  <si>
    <t>PREÇO/M3</t>
  </si>
  <si>
    <t>FRETE/M3</t>
  </si>
  <si>
    <t>VALOR SEM FRETE</t>
  </si>
  <si>
    <t>VALOR FINAL</t>
  </si>
  <si>
    <t>Pinus 30cm</t>
  </si>
  <si>
    <t>Pinus SECO 25cm</t>
  </si>
  <si>
    <t>Pinus SECO 20cm</t>
  </si>
  <si>
    <t>Pinus SECO 15cm</t>
  </si>
  <si>
    <t>Pinus SECO 10cm</t>
  </si>
  <si>
    <t>TOTAIS:</t>
  </si>
  <si>
    <t>💰 ANÁLISE DE VENDA</t>
  </si>
  <si>
    <t>PREÇO VENDA/M3</t>
  </si>
  <si>
    <t>VALOR VENDA</t>
  </si>
  <si>
    <t>MARGEM BRUTA</t>
  </si>
  <si>
    <t>% MARGEM</t>
  </si>
  <si>
    <t>📈 INDICADORES ESTRATÉGICOS</t>
  </si>
  <si>
    <t>Receita Total:</t>
  </si>
  <si>
    <t>Custo Total:</t>
  </si>
  <si>
    <t>Lucro Bruto:</t>
  </si>
  <si>
    <t>Margem Bruta:</t>
  </si>
  <si>
    <t>Custo por M3:</t>
  </si>
  <si>
    <t>Preço Médio Venda:</t>
  </si>
  <si>
    <t>Frete por M3:</t>
  </si>
  <si>
    <t>📊 COMPARATIVO DE FORNECEDORES</t>
  </si>
  <si>
    <t>FORNECEDOR</t>
  </si>
  <si>
    <t>CIDADE</t>
  </si>
  <si>
    <t>UF</t>
  </si>
  <si>
    <t>DISTÂNCIA (KM)</t>
  </si>
  <si>
    <t>TIPO MADEIRA</t>
  </si>
  <si>
    <t>DESCONTO ESPESSURA</t>
  </si>
  <si>
    <t>PREÇO VERDE</t>
  </si>
  <si>
    <t>PREÇO SECA</t>
  </si>
  <si>
    <t>FRETE/KM</t>
  </si>
  <si>
    <t>CUSTO TOTAL VERDE</t>
  </si>
  <si>
    <t>CUSTO TOTAL SECA</t>
  </si>
  <si>
    <t>MELHOR OPÇÃO</t>
  </si>
  <si>
    <t>Madeireira São José</t>
  </si>
  <si>
    <t>Araucária</t>
  </si>
  <si>
    <t>Verde/Seca</t>
  </si>
  <si>
    <t>Sim</t>
  </si>
  <si>
    <t>Pinus Brasil</t>
  </si>
  <si>
    <t>Tijucas do Sul</t>
  </si>
  <si>
    <t>Verde</t>
  </si>
  <si>
    <t>Não</t>
  </si>
  <si>
    <t>N/D</t>
  </si>
  <si>
    <t>Madeiras Curitiba</t>
  </si>
  <si>
    <t>Curitiba</t>
  </si>
  <si>
    <t>Seca</t>
  </si>
  <si>
    <t>Florestal SC</t>
  </si>
  <si>
    <t>Lages</t>
  </si>
  <si>
    <t>SC</t>
  </si>
  <si>
    <t>Pinus Export</t>
  </si>
  <si>
    <t>Canoinhas</t>
  </si>
  <si>
    <t>Madeira Nobre</t>
  </si>
  <si>
    <t>São Bento do Sul</t>
  </si>
  <si>
    <t>🚛 SIMULADOR DE CARREGAMENTO OTIMIZADO</t>
  </si>
  <si>
    <t>⚙️ CONFIGURAÇÕES DO CAMINHÃO</t>
  </si>
  <si>
    <t>Peso Máximo:</t>
  </si>
  <si>
    <t>kg</t>
  </si>
  <si>
    <t>Volume Máximo:</t>
  </si>
  <si>
    <t>m³</t>
  </si>
  <si>
    <t>Comprimento Máximo:</t>
  </si>
  <si>
    <t>metros</t>
  </si>
  <si>
    <t>Largura Máxima:</t>
  </si>
  <si>
    <t>Altura Máxima:</t>
  </si>
  <si>
    <t>📦 SIMULAÇÃO DE CARREGAMENTO</t>
  </si>
  <si>
    <t>M3 UNIT</t>
  </si>
  <si>
    <t>PESO UNIT</t>
  </si>
  <si>
    <t>PESO TOTAL</t>
  </si>
  <si>
    <t>% PESO</t>
  </si>
  <si>
    <t>% VOLUME</t>
  </si>
  <si>
    <t>STATUS</t>
  </si>
  <si>
    <t>🛣️ ANÁLISE DE FRETE E LOGÍSTICA</t>
  </si>
  <si>
    <t>🗺️ PRINCIPAIS ROTAS</t>
  </si>
  <si>
    <t>ORIGEM</t>
  </si>
  <si>
    <t>DESTINO</t>
  </si>
  <si>
    <t>DISTÂNCIA</t>
  </si>
  <si>
    <t>FRETE BASE</t>
  </si>
  <si>
    <t>CUSTO/KM</t>
  </si>
  <si>
    <t>PEDÁGIOS</t>
  </si>
  <si>
    <t>COMBUSTÍVEL</t>
  </si>
  <si>
    <t>TOTAL ESTIMADO</t>
  </si>
  <si>
    <t>Rio Pomba</t>
  </si>
  <si>
    <t>São Bento Sul</t>
  </si>
  <si>
    <t>🔍 CONTROLE DE QUALIDADE E ESPECIFICAÇÕES</t>
  </si>
  <si>
    <t>📏 CRITÉRIOS DE QUALIDADE</t>
  </si>
  <si>
    <t>Umidade Máxima (Seca):</t>
  </si>
  <si>
    <t>18%</t>
  </si>
  <si>
    <t>Norma NBR</t>
  </si>
  <si>
    <t>Umidade Máxima (Verde):</t>
  </si>
  <si>
    <t>25%</t>
  </si>
  <si>
    <t>Tolerância Espessura:</t>
  </si>
  <si>
    <t>±2mm</t>
  </si>
  <si>
    <t>Alguns fornec. -1cm</t>
  </si>
  <si>
    <t>Tolerância Largura:</t>
  </si>
  <si>
    <t>±3mm</t>
  </si>
  <si>
    <t>Padrão indústria</t>
  </si>
  <si>
    <t>Tolerância Comprimento:</t>
  </si>
  <si>
    <t>±5cm</t>
  </si>
  <si>
    <t>Defeitos Máximos:</t>
  </si>
  <si>
    <t>5%</t>
  </si>
  <si>
    <t>Por carregamento</t>
  </si>
  <si>
    <t>Rachaduras:</t>
  </si>
  <si>
    <t>Não aceitas</t>
  </si>
  <si>
    <t>Peças estruturais</t>
  </si>
  <si>
    <t>Empenamento:</t>
  </si>
  <si>
    <t>Máx 1cm/m</t>
  </si>
  <si>
    <t>Medição visual</t>
  </si>
  <si>
    <t>⭐ AVALIAÇÃO POR FORNECEDOR</t>
  </si>
  <si>
    <t>UMIDADE</t>
  </si>
  <si>
    <t>PRECISÃO ESP.</t>
  </si>
  <si>
    <t>DEFEITOS</t>
  </si>
  <si>
    <t>PONTUALIDADE</t>
  </si>
  <si>
    <t>NOTA GERAL</t>
  </si>
  <si>
    <t>OBSERVAÇÕES</t>
  </si>
  <si>
    <t>A</t>
  </si>
  <si>
    <t>B</t>
  </si>
  <si>
    <t>Boa qualidade geral</t>
  </si>
  <si>
    <t>Verde com qualidade</t>
  </si>
  <si>
    <t>Excelente seca</t>
  </si>
  <si>
    <t>Boa variedade</t>
  </si>
  <si>
    <t>C</t>
  </si>
  <si>
    <t>Preço competitivo</t>
  </si>
  <si>
    <t>Premium quality</t>
  </si>
  <si>
    <t>📋 BASE DE DADOS - FORNECEDORES</t>
  </si>
  <si>
    <t>CONTATO</t>
  </si>
  <si>
    <t>TELEFONE</t>
  </si>
  <si>
    <t>EMAIL</t>
  </si>
  <si>
    <t>ESPECIALIDADE</t>
  </si>
  <si>
    <t>PRAZO ENTREGA</t>
  </si>
  <si>
    <t>FORMA PAGTO</t>
  </si>
  <si>
    <t>DESCONTO VOL.</t>
  </si>
  <si>
    <t>OBS IMPORTANTES</t>
  </si>
  <si>
    <t>João Silva</t>
  </si>
  <si>
    <t>(41) 3333-4444</t>
  </si>
  <si>
    <t>joao@saojose.com.br</t>
  </si>
  <si>
    <t>45km</t>
  </si>
  <si>
    <t>3-5 dias</t>
  </si>
  <si>
    <t>30 dias</t>
  </si>
  <si>
    <t>5% &gt;50m³</t>
  </si>
  <si>
    <t>Desconto espessura -1cm</t>
  </si>
  <si>
    <t>Maria Santos</t>
  </si>
  <si>
    <t>(41) 3555-6666</t>
  </si>
  <si>
    <t>maria@pinusbrasil.com.br</t>
  </si>
  <si>
    <t>67km</t>
  </si>
  <si>
    <t>2-4 dias</t>
  </si>
  <si>
    <t>21 dias</t>
  </si>
  <si>
    <t>3% &gt;30m³</t>
  </si>
  <si>
    <t>Só trabalha com verde</t>
  </si>
  <si>
    <t>Pedro Costa</t>
  </si>
  <si>
    <t>(41) 3777-8888</t>
  </si>
  <si>
    <t>pedro@madeirascwb.com.br</t>
  </si>
  <si>
    <t>89km</t>
  </si>
  <si>
    <t>1-3 dias</t>
  </si>
  <si>
    <t>7% &gt;40m³</t>
  </si>
  <si>
    <t>Especialista em seca</t>
  </si>
  <si>
    <t>Ana Lima</t>
  </si>
  <si>
    <t>(49) 3999-0000</t>
  </si>
  <si>
    <t>ana@florestalsc.com.br</t>
  </si>
  <si>
    <t>234km</t>
  </si>
  <si>
    <t>5-7 dias</t>
  </si>
  <si>
    <t>45 dias</t>
  </si>
  <si>
    <t>4% &gt;60m³</t>
  </si>
  <si>
    <t>Grande variedade</t>
  </si>
  <si>
    <t>Carlos Rocha</t>
  </si>
  <si>
    <t>(47) 3111-2222</t>
  </si>
  <si>
    <t>carlos@pinusexport.com.br</t>
  </si>
  <si>
    <t>156km</t>
  </si>
  <si>
    <t>3-6 dias</t>
  </si>
  <si>
    <t>28 dias</t>
  </si>
  <si>
    <t>2% &gt;25m³</t>
  </si>
  <si>
    <t>Preços competitivos</t>
  </si>
  <si>
    <t>Luciana Souza</t>
  </si>
  <si>
    <t>(47) 3333-4444</t>
  </si>
  <si>
    <t>luciana@madeiranobre.com.br</t>
  </si>
  <si>
    <t>278km</t>
  </si>
  <si>
    <t>Seca Premium</t>
  </si>
  <si>
    <t>7-10 dias</t>
  </si>
  <si>
    <t>60 dias</t>
  </si>
  <si>
    <t>8% &gt;80m³</t>
  </si>
  <si>
    <t>Qualidade premium</t>
  </si>
  <si>
    <t>💰 TABELA DE PREÇOS POR PRODUTO (R$/m³)</t>
  </si>
  <si>
    <t>São José</t>
  </si>
  <si>
    <t>Mad. Curitiba</t>
  </si>
  <si>
    <t>Mad. Nobre</t>
  </si>
  <si>
    <t>Pinus 5x30x300</t>
  </si>
  <si>
    <t>Pinus 5x25x300</t>
  </si>
  <si>
    <t>Pinus 5x20x300</t>
  </si>
  <si>
    <t>Pinus 5x15x300</t>
  </si>
  <si>
    <t>Pinus 5x10x300</t>
  </si>
  <si>
    <t>Pinus Seco 5x30x300</t>
  </si>
  <si>
    <t>Pinus Seco 5x25x300</t>
  </si>
  <si>
    <t>Pinus Seco 5x20x300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</si>
</sst>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R\$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4"/>
      <color rgb="FF2F5233"/>
      <name val="Calibri"/>
      <family val="2"/>
    </font>
    <font>
      <b/>
      <sz val="11"/>
      <color rgb="FFFFFFFF"/>
      <name val="Calibri"/>
      <family val="2"/>
    </font>
    <font>
      <b/>
      <sz val="11"/>
      <name val="Calibri"/>
      <family val="2"/>
    </font>
    <font>
      <b/>
      <sz val="11"/>
      <color rgb="FF1F4E7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2F5233"/>
        <bgColor rgb="FF2F5233"/>
      </patternFill>
    </fill>
    <fill>
      <patternFill patternType="solid">
        <fgColor rgb="FFE6E6FA"/>
        <bgColor rgb="FFE6E6FA"/>
      </patternFill>
    </fill>
    <fill>
      <patternFill patternType="solid">
        <fgColor rgb="FF1F4E79"/>
        <bgColor rgb="FF1F4E7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6B6B"/>
        <bgColor rgb="FFFF6B6B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64" fontId="5" fillId="0" borderId="0" xfId="0" applyNumberFormat="1" applyFont="1"/>
    <xf numFmtId="165" fontId="5" fillId="0" borderId="0" xfId="0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2" borderId="0" xfId="0" applyFont="1" applyFill="1"/>
    <xf numFmtId="0" fontId="0" fillId="8" borderId="0" xfId="0" applyFill="1"/>
    <xf numFmtId="0" fontId="3" fillId="4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0"/>
  <sheetViews>
    <sheetView tabSelected="1" topLeftCell="C1" workbookViewId="0">
      <selection activeCell="C1" sqref="A1:XFD1048576"/>
    </sheetView>
  </sheetViews>
  <sheetFormatPr defaultRowHeight="15" x14ac:dyDescent="0.25"/>
  <cols>
    <col min="2" max="2" width="35.42578125" bestFit="1" customWidth="1"/>
    <col min="3" max="3" width="16.28515625" customWidth="1"/>
    <col min="4" max="4" width="14.140625" customWidth="1"/>
    <col min="7" max="7" width="13.5703125" customWidth="1"/>
    <col min="8" max="8" width="14.5703125" customWidth="1"/>
    <col min="9" max="9" width="12.85546875" bestFit="1" customWidth="1"/>
    <col min="12" max="12" width="13.140625" customWidth="1"/>
    <col min="13" max="13" width="13.28515625" customWidth="1"/>
    <col min="15" max="15" width="12.5703125" customWidth="1"/>
    <col min="16" max="16" width="9.42578125" customWidth="1"/>
  </cols>
  <sheetData>
    <row r="2" spans="2:17" ht="21" x14ac:dyDescent="0.25">
      <c r="B2" s="21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5" spans="2:17" ht="18.75" x14ac:dyDescent="0.3">
      <c r="B5" s="1" t="s">
        <v>1</v>
      </c>
    </row>
    <row r="7" spans="2:17" x14ac:dyDescent="0.25">
      <c r="B7" t="s">
        <v>2</v>
      </c>
      <c r="C7" t="s">
        <v>3</v>
      </c>
      <c r="D7" t="s">
        <v>4</v>
      </c>
      <c r="F7" t="s">
        <v>5</v>
      </c>
      <c r="G7" t="s">
        <v>6</v>
      </c>
      <c r="H7" t="s">
        <v>7</v>
      </c>
    </row>
    <row r="8" spans="2:17" x14ac:dyDescent="0.25">
      <c r="B8" t="s">
        <v>8</v>
      </c>
      <c r="C8">
        <v>1319</v>
      </c>
      <c r="D8" t="s">
        <v>9</v>
      </c>
      <c r="F8" t="s">
        <v>10</v>
      </c>
      <c r="G8" s="2">
        <v>11000</v>
      </c>
    </row>
    <row r="9" spans="2:17" x14ac:dyDescent="0.25">
      <c r="B9" t="s">
        <v>11</v>
      </c>
      <c r="C9" s="2">
        <f>G8/C8</f>
        <v>8.3396512509476874</v>
      </c>
    </row>
    <row r="12" spans="2:17" x14ac:dyDescent="0.25">
      <c r="B12" s="3" t="s">
        <v>12</v>
      </c>
      <c r="C12" s="3" t="s">
        <v>13</v>
      </c>
      <c r="D12" s="3" t="s">
        <v>14</v>
      </c>
      <c r="E12" s="3" t="s">
        <v>15</v>
      </c>
      <c r="F12" s="3" t="s">
        <v>16</v>
      </c>
      <c r="G12" s="3" t="s">
        <v>17</v>
      </c>
      <c r="H12" s="3" t="s">
        <v>18</v>
      </c>
      <c r="I12" s="3" t="s">
        <v>19</v>
      </c>
      <c r="J12" s="3" t="s">
        <v>20</v>
      </c>
      <c r="K12" s="3" t="s">
        <v>21</v>
      </c>
      <c r="L12" s="3" t="s">
        <v>22</v>
      </c>
      <c r="M12" s="3" t="s">
        <v>23</v>
      </c>
      <c r="N12" s="3" t="s">
        <v>24</v>
      </c>
      <c r="O12" s="3" t="s">
        <v>25</v>
      </c>
      <c r="P12" s="3" t="s">
        <v>26</v>
      </c>
      <c r="Q12" s="3" t="s">
        <v>27</v>
      </c>
    </row>
    <row r="13" spans="2:17" x14ac:dyDescent="0.25">
      <c r="B13" s="4" t="s">
        <v>28</v>
      </c>
      <c r="C13" s="4">
        <v>467</v>
      </c>
      <c r="D13" s="4">
        <f>(F13*G13*H13)/10000</f>
        <v>1.7999999999999999E-2</v>
      </c>
      <c r="E13" s="5">
        <v>20</v>
      </c>
      <c r="F13" s="5">
        <v>2</v>
      </c>
      <c r="G13" s="5">
        <v>30</v>
      </c>
      <c r="H13" s="6">
        <v>3</v>
      </c>
      <c r="I13" s="6" t="e">
        <f>($G$8/$H$23)*H13</f>
        <v>#DIV/0!</v>
      </c>
      <c r="J13" s="5">
        <v>1000</v>
      </c>
      <c r="K13" s="5" t="e">
        <f>(D13/D$23)</f>
        <v>#DIV/0!</v>
      </c>
      <c r="L13" s="7">
        <v>1170</v>
      </c>
      <c r="M13" s="7">
        <f>L13/D13</f>
        <v>65000.000000000007</v>
      </c>
      <c r="N13" s="7" t="e">
        <f>I13</f>
        <v>#DIV/0!</v>
      </c>
      <c r="O13" s="7">
        <f>L13*D13</f>
        <v>21.06</v>
      </c>
      <c r="P13" s="7" t="e">
        <f>O13+N13*D13</f>
        <v>#DIV/0!</v>
      </c>
    </row>
    <row r="14" spans="2:17" x14ac:dyDescent="0.25">
      <c r="B14" s="4" t="s">
        <v>29</v>
      </c>
      <c r="C14" s="4">
        <v>140</v>
      </c>
      <c r="D14" s="4">
        <f>(C15*E15*F15*G15)/1000000</f>
        <v>3.9199999999999999E-2</v>
      </c>
      <c r="E14" s="5">
        <v>7</v>
      </c>
      <c r="F14" s="5">
        <v>2</v>
      </c>
      <c r="G14" s="5">
        <v>25</v>
      </c>
      <c r="H14" s="6">
        <v>3</v>
      </c>
      <c r="I14" s="6" t="e">
        <f>($G$8/$H$23)*H14</f>
        <v>#DIV/0!</v>
      </c>
      <c r="J14" s="5">
        <v>500</v>
      </c>
      <c r="K14" s="5" t="e">
        <f>(D14/D$23)</f>
        <v>#DIV/0!</v>
      </c>
      <c r="L14" s="7">
        <v>950</v>
      </c>
      <c r="M14" s="7">
        <f>L14/D14</f>
        <v>24234.693877551021</v>
      </c>
      <c r="N14" s="7" t="e">
        <f>I14</f>
        <v>#DIV/0!</v>
      </c>
      <c r="O14" s="7">
        <f>L14*D14</f>
        <v>37.24</v>
      </c>
      <c r="P14" s="7" t="e">
        <f>O14+N14*D14</f>
        <v>#DIV/0!</v>
      </c>
    </row>
    <row r="15" spans="2:17" x14ac:dyDescent="0.25">
      <c r="B15" s="4" t="s">
        <v>30</v>
      </c>
      <c r="C15" s="4">
        <v>140</v>
      </c>
      <c r="D15" s="4">
        <f>(C16*E16*F16*G16)/1000000</f>
        <v>8.9999999999999993E-3</v>
      </c>
      <c r="E15" s="5">
        <v>7</v>
      </c>
      <c r="F15" s="5">
        <v>2</v>
      </c>
      <c r="G15" s="5">
        <v>20</v>
      </c>
      <c r="H15" s="6">
        <v>3</v>
      </c>
      <c r="I15" s="6" t="e">
        <f>($G$8/$H$23)*H15</f>
        <v>#DIV/0!</v>
      </c>
      <c r="J15" s="5">
        <v>500</v>
      </c>
      <c r="K15" s="5" t="e">
        <f>(D15/D$23)</f>
        <v>#DIV/0!</v>
      </c>
      <c r="L15" s="7">
        <v>950</v>
      </c>
      <c r="M15" s="7">
        <f>L15/D15</f>
        <v>105555.55555555556</v>
      </c>
      <c r="N15" s="7" t="e">
        <f>I15</f>
        <v>#DIV/0!</v>
      </c>
      <c r="O15" s="7">
        <f>L15*D15</f>
        <v>8.5499999999999989</v>
      </c>
      <c r="P15" s="7" t="e">
        <f>O15+N15*D15</f>
        <v>#DIV/0!</v>
      </c>
    </row>
    <row r="16" spans="2:17" x14ac:dyDescent="0.25">
      <c r="B16" s="4" t="s">
        <v>31</v>
      </c>
      <c r="C16" s="4">
        <v>100</v>
      </c>
      <c r="D16" s="4">
        <f>(C17*E17*F17*G17)/1000000</f>
        <v>6.0000000000000001E-3</v>
      </c>
      <c r="E16" s="5">
        <v>3</v>
      </c>
      <c r="F16" s="5">
        <v>2</v>
      </c>
      <c r="G16" s="5">
        <v>15</v>
      </c>
      <c r="H16" s="6">
        <v>3</v>
      </c>
      <c r="I16" s="6" t="e">
        <f>($G$8/$H$23)*H16</f>
        <v>#DIV/0!</v>
      </c>
      <c r="J16" s="5">
        <v>500</v>
      </c>
      <c r="K16" s="5" t="e">
        <f>(D16/D$23)</f>
        <v>#DIV/0!</v>
      </c>
      <c r="L16" s="7">
        <v>950</v>
      </c>
      <c r="M16" s="7">
        <f>L16/D16</f>
        <v>158333.33333333334</v>
      </c>
      <c r="N16" s="7" t="e">
        <f>I16</f>
        <v>#DIV/0!</v>
      </c>
      <c r="O16" s="7">
        <f>L16*D16</f>
        <v>5.7</v>
      </c>
      <c r="P16" s="7" t="e">
        <f>O16+N16*D16</f>
        <v>#DIV/0!</v>
      </c>
    </row>
    <row r="17" spans="2:16" x14ac:dyDescent="0.25">
      <c r="B17" s="4" t="s">
        <v>32</v>
      </c>
      <c r="C17" s="4">
        <v>100</v>
      </c>
      <c r="D17" s="4">
        <f>(C18*E18*F18*G18)/1000000</f>
        <v>0</v>
      </c>
      <c r="E17" s="5">
        <v>3</v>
      </c>
      <c r="F17" s="5">
        <v>2</v>
      </c>
      <c r="G17" s="5">
        <v>10</v>
      </c>
      <c r="H17" s="6">
        <v>3</v>
      </c>
      <c r="I17" s="6" t="e">
        <f>($G$8/$H$23)*H17</f>
        <v>#DIV/0!</v>
      </c>
      <c r="J17" s="5">
        <v>500</v>
      </c>
      <c r="K17" s="5" t="e">
        <f>(D17/D$23)</f>
        <v>#DIV/0!</v>
      </c>
      <c r="L17" s="7">
        <v>950</v>
      </c>
      <c r="M17" s="7" t="e">
        <f>L17/D17</f>
        <v>#DIV/0!</v>
      </c>
      <c r="N17" s="7" t="e">
        <f>I17</f>
        <v>#DIV/0!</v>
      </c>
      <c r="O17" s="7">
        <f>L17*D17</f>
        <v>0</v>
      </c>
      <c r="P17" s="7" t="e">
        <f>O17+N17*D17</f>
        <v>#DIV/0!</v>
      </c>
    </row>
    <row r="18" spans="2:16" x14ac:dyDescent="0.25">
      <c r="B18" s="8" t="s">
        <v>33</v>
      </c>
      <c r="C18" s="9">
        <f>SUM(C13:C17)</f>
        <v>947</v>
      </c>
      <c r="D18" s="9">
        <f>SUM(D13:D17)</f>
        <v>7.22E-2</v>
      </c>
      <c r="E18">
        <f>SUM(E13:E17)</f>
        <v>40</v>
      </c>
      <c r="H18" s="9">
        <f>SUM(H13:H17)</f>
        <v>15</v>
      </c>
      <c r="O18" s="10">
        <f>SUM(O13:O17)</f>
        <v>72.55</v>
      </c>
      <c r="P18" s="10" t="e">
        <f>SUM(P13:P17)</f>
        <v>#DIV/0!</v>
      </c>
    </row>
    <row r="22" spans="2:16" ht="18.75" x14ac:dyDescent="0.3">
      <c r="B22" s="1" t="s">
        <v>34</v>
      </c>
    </row>
    <row r="24" spans="2:16" s="20" customFormat="1" ht="45" x14ac:dyDescent="0.25">
      <c r="B24" s="19" t="s">
        <v>12</v>
      </c>
      <c r="C24" s="19" t="s">
        <v>13</v>
      </c>
      <c r="D24" s="19" t="s">
        <v>15</v>
      </c>
      <c r="E24" s="19" t="s">
        <v>16</v>
      </c>
      <c r="F24" s="19" t="s">
        <v>17</v>
      </c>
      <c r="G24" s="19" t="s">
        <v>18</v>
      </c>
      <c r="H24" s="19" t="s">
        <v>35</v>
      </c>
      <c r="I24" s="19" t="s">
        <v>36</v>
      </c>
      <c r="J24" s="19" t="s">
        <v>37</v>
      </c>
      <c r="K24" s="19" t="s">
        <v>38</v>
      </c>
    </row>
    <row r="25" spans="2:16" x14ac:dyDescent="0.25">
      <c r="B25" t="str">
        <f t="shared" ref="B25:G29" si="0">B13</f>
        <v>Pinus 30cm</v>
      </c>
      <c r="C25">
        <f t="shared" si="0"/>
        <v>467</v>
      </c>
      <c r="D25">
        <f t="shared" si="0"/>
        <v>1.7999999999999999E-2</v>
      </c>
      <c r="E25">
        <f t="shared" si="0"/>
        <v>20</v>
      </c>
      <c r="F25">
        <f t="shared" si="0"/>
        <v>2</v>
      </c>
      <c r="G25">
        <f t="shared" si="0"/>
        <v>30</v>
      </c>
      <c r="H25" s="2">
        <v>1350</v>
      </c>
      <c r="I25" s="2">
        <f>H25*D25</f>
        <v>24.299999999999997</v>
      </c>
      <c r="J25" s="2" t="e">
        <f>I25-P13</f>
        <v>#DIV/0!</v>
      </c>
      <c r="K25" s="11" t="e">
        <f>J25/I25</f>
        <v>#DIV/0!</v>
      </c>
    </row>
    <row r="26" spans="2:16" x14ac:dyDescent="0.25">
      <c r="B26" t="str">
        <f t="shared" si="0"/>
        <v>Pinus SECO 25cm</v>
      </c>
      <c r="C26">
        <f t="shared" si="0"/>
        <v>140</v>
      </c>
      <c r="D26">
        <f t="shared" si="0"/>
        <v>3.9199999999999999E-2</v>
      </c>
      <c r="E26">
        <f t="shared" si="0"/>
        <v>7</v>
      </c>
      <c r="F26">
        <f t="shared" si="0"/>
        <v>2</v>
      </c>
      <c r="G26">
        <f t="shared" si="0"/>
        <v>25</v>
      </c>
      <c r="H26" s="2">
        <v>1350</v>
      </c>
      <c r="I26" s="2">
        <f>H26*D26</f>
        <v>52.92</v>
      </c>
      <c r="J26" s="2" t="e">
        <f>I26-P14</f>
        <v>#DIV/0!</v>
      </c>
      <c r="K26" s="11" t="e">
        <f>J26/I26</f>
        <v>#DIV/0!</v>
      </c>
    </row>
    <row r="27" spans="2:16" x14ac:dyDescent="0.25">
      <c r="B27" t="str">
        <f t="shared" si="0"/>
        <v>Pinus SECO 20cm</v>
      </c>
      <c r="C27">
        <f t="shared" si="0"/>
        <v>140</v>
      </c>
      <c r="D27">
        <f t="shared" si="0"/>
        <v>8.9999999999999993E-3</v>
      </c>
      <c r="E27">
        <f t="shared" si="0"/>
        <v>7</v>
      </c>
      <c r="F27">
        <f t="shared" si="0"/>
        <v>2</v>
      </c>
      <c r="G27">
        <f t="shared" si="0"/>
        <v>20</v>
      </c>
      <c r="H27" s="2">
        <v>1350</v>
      </c>
      <c r="I27" s="2">
        <f>H27*D27</f>
        <v>12.149999999999999</v>
      </c>
      <c r="J27" s="2" t="e">
        <f>I27-P15</f>
        <v>#DIV/0!</v>
      </c>
      <c r="K27" s="11" t="e">
        <f>J27/I27</f>
        <v>#DIV/0!</v>
      </c>
    </row>
    <row r="28" spans="2:16" x14ac:dyDescent="0.25">
      <c r="B28" t="str">
        <f t="shared" si="0"/>
        <v>Pinus SECO 15cm</v>
      </c>
      <c r="C28">
        <f t="shared" si="0"/>
        <v>100</v>
      </c>
      <c r="D28">
        <f t="shared" si="0"/>
        <v>6.0000000000000001E-3</v>
      </c>
      <c r="E28">
        <f t="shared" si="0"/>
        <v>3</v>
      </c>
      <c r="F28">
        <f t="shared" si="0"/>
        <v>2</v>
      </c>
      <c r="G28">
        <f t="shared" si="0"/>
        <v>15</v>
      </c>
      <c r="H28" s="2">
        <v>1350</v>
      </c>
      <c r="I28" s="2">
        <f>H28*D28</f>
        <v>8.1</v>
      </c>
      <c r="J28" s="2" t="e">
        <f>I28-P16</f>
        <v>#DIV/0!</v>
      </c>
      <c r="K28" s="11" t="e">
        <f>J28/I28</f>
        <v>#DIV/0!</v>
      </c>
    </row>
    <row r="29" spans="2:16" x14ac:dyDescent="0.25">
      <c r="B29" t="str">
        <f t="shared" si="0"/>
        <v>Pinus SECO 10cm</v>
      </c>
      <c r="C29">
        <f t="shared" si="0"/>
        <v>100</v>
      </c>
      <c r="D29">
        <f t="shared" si="0"/>
        <v>0</v>
      </c>
      <c r="E29">
        <f t="shared" si="0"/>
        <v>3</v>
      </c>
      <c r="F29">
        <f t="shared" si="0"/>
        <v>2</v>
      </c>
      <c r="G29">
        <f t="shared" si="0"/>
        <v>10</v>
      </c>
      <c r="H29" s="2">
        <v>1350</v>
      </c>
      <c r="I29" s="2">
        <f>H29*D29</f>
        <v>0</v>
      </c>
      <c r="J29" s="2" t="e">
        <f>I29-P17</f>
        <v>#DIV/0!</v>
      </c>
      <c r="K29" s="11" t="e">
        <f>J29/I29</f>
        <v>#DIV/0!</v>
      </c>
    </row>
    <row r="32" spans="2:16" ht="18.75" x14ac:dyDescent="0.3">
      <c r="B32" s="1" t="s">
        <v>39</v>
      </c>
    </row>
    <row r="34" spans="2:3" x14ac:dyDescent="0.25">
      <c r="B34" s="8" t="s">
        <v>40</v>
      </c>
      <c r="C34" s="12">
        <f>SUM(I25:I29)</f>
        <v>97.47</v>
      </c>
    </row>
    <row r="35" spans="2:3" x14ac:dyDescent="0.25">
      <c r="B35" s="8" t="s">
        <v>41</v>
      </c>
      <c r="C35" s="12" t="e">
        <f>SUM(P13:P17)</f>
        <v>#DIV/0!</v>
      </c>
    </row>
    <row r="36" spans="2:3" x14ac:dyDescent="0.25">
      <c r="B36" s="8" t="s">
        <v>42</v>
      </c>
      <c r="C36" s="12" t="e">
        <f>B35-B36</f>
        <v>#VALUE!</v>
      </c>
    </row>
    <row r="37" spans="2:3" x14ac:dyDescent="0.25">
      <c r="B37" s="8" t="s">
        <v>43</v>
      </c>
      <c r="C37" s="13" t="e">
        <f>B37/B35</f>
        <v>#VALUE!</v>
      </c>
    </row>
    <row r="38" spans="2:3" x14ac:dyDescent="0.25">
      <c r="B38" s="8" t="s">
        <v>44</v>
      </c>
      <c r="C38" s="12" t="e">
        <f>B36/D18</f>
        <v>#VALUE!</v>
      </c>
    </row>
    <row r="39" spans="2:3" x14ac:dyDescent="0.25">
      <c r="B39" s="8" t="s">
        <v>45</v>
      </c>
      <c r="C39" s="12" t="e">
        <f>B35/D18</f>
        <v>#VALUE!</v>
      </c>
    </row>
    <row r="40" spans="2:3" x14ac:dyDescent="0.25">
      <c r="B40" s="8" t="s">
        <v>46</v>
      </c>
      <c r="C40" s="12">
        <f>G8/D18</f>
        <v>152354.57063711912</v>
      </c>
    </row>
  </sheetData>
  <mergeCells count="1">
    <mergeCell ref="B2:P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11"/>
  <sheetViews>
    <sheetView workbookViewId="0"/>
  </sheetViews>
  <sheetFormatPr defaultRowHeight="15" x14ac:dyDescent="0.25"/>
  <sheetData>
    <row r="2" spans="2:15" ht="21" x14ac:dyDescent="0.25">
      <c r="B2" s="23" t="s">
        <v>47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5" spans="2:15" x14ac:dyDescent="0.25">
      <c r="B5" s="3" t="s">
        <v>48</v>
      </c>
      <c r="C5" s="3" t="s">
        <v>49</v>
      </c>
      <c r="D5" s="3" t="s">
        <v>50</v>
      </c>
      <c r="E5" s="3" t="s">
        <v>51</v>
      </c>
      <c r="F5" s="3" t="s">
        <v>52</v>
      </c>
      <c r="G5" s="3" t="s">
        <v>53</v>
      </c>
      <c r="H5" s="3" t="s">
        <v>54</v>
      </c>
      <c r="I5" s="3" t="s">
        <v>55</v>
      </c>
      <c r="J5" s="3" t="s">
        <v>56</v>
      </c>
      <c r="K5" s="3" t="s">
        <v>57</v>
      </c>
      <c r="L5" s="3" t="s">
        <v>58</v>
      </c>
      <c r="M5" s="3" t="s">
        <v>59</v>
      </c>
    </row>
    <row r="6" spans="2:15" x14ac:dyDescent="0.25">
      <c r="B6" t="s">
        <v>60</v>
      </c>
      <c r="C6" t="s">
        <v>61</v>
      </c>
      <c r="D6" t="s">
        <v>4</v>
      </c>
      <c r="E6">
        <v>45</v>
      </c>
      <c r="F6" t="s">
        <v>62</v>
      </c>
      <c r="G6" t="s">
        <v>63</v>
      </c>
      <c r="H6" s="2">
        <v>1150</v>
      </c>
      <c r="I6" s="2">
        <v>950</v>
      </c>
      <c r="J6" s="2">
        <f t="shared" ref="J6:J11" si="0">E6*8.34</f>
        <v>375.3</v>
      </c>
      <c r="K6">
        <f>H6+J6</f>
        <v>1525.3</v>
      </c>
      <c r="L6">
        <f>I6+J6</f>
        <v>1325.3</v>
      </c>
      <c r="M6" t="str">
        <f t="shared" ref="M6:M11" si="1">IF(AND(K6&lt;&gt;"N/D",L6&lt;&gt;"N/D"),IF(K6&lt;L6,"Verde","Seca"),IF(K6&lt;&gt;"N/D","Verde",IF(L6&lt;&gt;"N/D","Seca","N/D")))</f>
        <v>Seca</v>
      </c>
    </row>
    <row r="7" spans="2:15" x14ac:dyDescent="0.25">
      <c r="B7" t="s">
        <v>64</v>
      </c>
      <c r="C7" t="s">
        <v>65</v>
      </c>
      <c r="D7" t="s">
        <v>4</v>
      </c>
      <c r="E7">
        <v>67</v>
      </c>
      <c r="F7" t="s">
        <v>66</v>
      </c>
      <c r="G7" t="s">
        <v>67</v>
      </c>
      <c r="H7" s="2">
        <v>1180</v>
      </c>
      <c r="I7" t="s">
        <v>68</v>
      </c>
      <c r="J7" s="2">
        <f t="shared" si="0"/>
        <v>558.78</v>
      </c>
      <c r="K7">
        <f>H7+J7</f>
        <v>1738.78</v>
      </c>
      <c r="L7" t="s">
        <v>68</v>
      </c>
      <c r="M7" t="str">
        <f t="shared" si="1"/>
        <v>Verde</v>
      </c>
    </row>
    <row r="8" spans="2:15" x14ac:dyDescent="0.25">
      <c r="B8" t="s">
        <v>69</v>
      </c>
      <c r="C8" t="s">
        <v>70</v>
      </c>
      <c r="D8" t="s">
        <v>4</v>
      </c>
      <c r="E8">
        <v>89</v>
      </c>
      <c r="F8" t="s">
        <v>71</v>
      </c>
      <c r="G8" t="s">
        <v>63</v>
      </c>
      <c r="H8" t="s">
        <v>68</v>
      </c>
      <c r="I8" s="2">
        <v>920</v>
      </c>
      <c r="J8" s="2">
        <f t="shared" si="0"/>
        <v>742.26</v>
      </c>
      <c r="K8" t="s">
        <v>68</v>
      </c>
      <c r="L8">
        <f>I8+J8</f>
        <v>1662.26</v>
      </c>
      <c r="M8" t="str">
        <f t="shared" si="1"/>
        <v>Seca</v>
      </c>
    </row>
    <row r="9" spans="2:15" x14ac:dyDescent="0.25">
      <c r="B9" t="s">
        <v>72</v>
      </c>
      <c r="C9" t="s">
        <v>73</v>
      </c>
      <c r="D9" t="s">
        <v>74</v>
      </c>
      <c r="E9">
        <v>234</v>
      </c>
      <c r="F9" t="s">
        <v>62</v>
      </c>
      <c r="G9" t="s">
        <v>63</v>
      </c>
      <c r="H9" s="2">
        <v>1200</v>
      </c>
      <c r="I9" s="2">
        <v>980</v>
      </c>
      <c r="J9" s="2">
        <f t="shared" si="0"/>
        <v>1951.56</v>
      </c>
      <c r="K9">
        <f>H9+J9</f>
        <v>3151.56</v>
      </c>
      <c r="L9">
        <f>I9+J9</f>
        <v>2931.56</v>
      </c>
      <c r="M9" t="str">
        <f t="shared" si="1"/>
        <v>Seca</v>
      </c>
    </row>
    <row r="10" spans="2:15" x14ac:dyDescent="0.25">
      <c r="B10" t="s">
        <v>75</v>
      </c>
      <c r="C10" t="s">
        <v>76</v>
      </c>
      <c r="D10" t="s">
        <v>74</v>
      </c>
      <c r="E10">
        <v>156</v>
      </c>
      <c r="F10" t="s">
        <v>66</v>
      </c>
      <c r="G10" t="s">
        <v>67</v>
      </c>
      <c r="H10" s="2">
        <v>1190</v>
      </c>
      <c r="I10" t="s">
        <v>68</v>
      </c>
      <c r="J10" s="2">
        <f t="shared" si="0"/>
        <v>1301.04</v>
      </c>
      <c r="K10">
        <f>H10+J10</f>
        <v>2491.04</v>
      </c>
      <c r="L10" t="s">
        <v>68</v>
      </c>
      <c r="M10" t="str">
        <f t="shared" si="1"/>
        <v>Verde</v>
      </c>
    </row>
    <row r="11" spans="2:15" x14ac:dyDescent="0.25">
      <c r="B11" t="s">
        <v>77</v>
      </c>
      <c r="C11" t="s">
        <v>78</v>
      </c>
      <c r="D11" t="s">
        <v>74</v>
      </c>
      <c r="E11">
        <v>278</v>
      </c>
      <c r="F11" t="s">
        <v>71</v>
      </c>
      <c r="G11" t="s">
        <v>63</v>
      </c>
      <c r="H11" t="s">
        <v>68</v>
      </c>
      <c r="I11" s="2">
        <v>940</v>
      </c>
      <c r="J11" s="2">
        <f t="shared" si="0"/>
        <v>2318.52</v>
      </c>
      <c r="K11" t="s">
        <v>68</v>
      </c>
      <c r="L11">
        <f>I11+J11</f>
        <v>3258.52</v>
      </c>
      <c r="M11" t="str">
        <f t="shared" si="1"/>
        <v>Seca</v>
      </c>
    </row>
  </sheetData>
  <mergeCells count="1">
    <mergeCell ref="B2:O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21"/>
  <sheetViews>
    <sheetView workbookViewId="0"/>
  </sheetViews>
  <sheetFormatPr defaultRowHeight="15" x14ac:dyDescent="0.25"/>
  <sheetData>
    <row r="2" spans="2:13" ht="21" x14ac:dyDescent="0.25">
      <c r="B2" s="23" t="s">
        <v>79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8.75" x14ac:dyDescent="0.3">
      <c r="B5" s="1" t="s">
        <v>80</v>
      </c>
    </row>
    <row r="7" spans="2:13" x14ac:dyDescent="0.25">
      <c r="B7" s="8" t="s">
        <v>81</v>
      </c>
      <c r="C7">
        <v>27000</v>
      </c>
      <c r="D7" t="s">
        <v>82</v>
      </c>
    </row>
    <row r="8" spans="2:13" x14ac:dyDescent="0.25">
      <c r="B8" s="8" t="s">
        <v>83</v>
      </c>
      <c r="C8">
        <v>90</v>
      </c>
      <c r="D8" t="s">
        <v>84</v>
      </c>
    </row>
    <row r="9" spans="2:13" x14ac:dyDescent="0.25">
      <c r="B9" s="8" t="s">
        <v>85</v>
      </c>
      <c r="C9">
        <v>14</v>
      </c>
      <c r="D9" t="s">
        <v>86</v>
      </c>
    </row>
    <row r="10" spans="2:13" x14ac:dyDescent="0.25">
      <c r="B10" s="8" t="s">
        <v>87</v>
      </c>
      <c r="C10">
        <v>2.6</v>
      </c>
      <c r="D10" t="s">
        <v>86</v>
      </c>
    </row>
    <row r="11" spans="2:13" x14ac:dyDescent="0.25">
      <c r="B11" s="8" t="s">
        <v>88</v>
      </c>
      <c r="C11">
        <v>4.4000000000000004</v>
      </c>
      <c r="D11" t="s">
        <v>86</v>
      </c>
    </row>
    <row r="14" spans="2:13" ht="18.75" x14ac:dyDescent="0.3">
      <c r="B14" s="1" t="s">
        <v>89</v>
      </c>
    </row>
    <row r="16" spans="2:13" x14ac:dyDescent="0.25">
      <c r="B16" s="3" t="s">
        <v>12</v>
      </c>
      <c r="C16" s="3" t="s">
        <v>13</v>
      </c>
      <c r="D16" s="3" t="s">
        <v>90</v>
      </c>
      <c r="E16" s="3" t="s">
        <v>15</v>
      </c>
      <c r="F16" s="3" t="s">
        <v>91</v>
      </c>
      <c r="G16" s="3" t="s">
        <v>92</v>
      </c>
      <c r="H16" s="3" t="s">
        <v>93</v>
      </c>
      <c r="I16" s="3" t="s">
        <v>94</v>
      </c>
      <c r="J16" s="3" t="s">
        <v>95</v>
      </c>
    </row>
    <row r="17" spans="2:10" x14ac:dyDescent="0.25">
      <c r="B17" t="s">
        <v>28</v>
      </c>
      <c r="C17">
        <v>467</v>
      </c>
      <c r="D17">
        <v>0.06</v>
      </c>
      <c r="E17" t="e">
        <f>C16*D16</f>
        <v>#VALUE!</v>
      </c>
      <c r="F17">
        <v>60</v>
      </c>
      <c r="G17" t="e">
        <f>C16*F16</f>
        <v>#VALUE!</v>
      </c>
      <c r="H17" t="e">
        <f>G17/C$7*100</f>
        <v>#VALUE!</v>
      </c>
      <c r="I17" t="e">
        <f>E17/C$8*100</f>
        <v>#VALUE!</v>
      </c>
      <c r="J17" s="8" t="e">
        <f>IF(OR(H17&gt;100,I17&gt;100),"EXCESSO","OK")</f>
        <v>#VALUE!</v>
      </c>
    </row>
    <row r="18" spans="2:10" x14ac:dyDescent="0.25">
      <c r="B18" t="s">
        <v>29</v>
      </c>
      <c r="C18">
        <v>140</v>
      </c>
      <c r="D18">
        <v>0.05</v>
      </c>
      <c r="E18">
        <f>C17*D17</f>
        <v>28.02</v>
      </c>
      <c r="F18">
        <v>25</v>
      </c>
      <c r="G18">
        <f>C17*F17</f>
        <v>28020</v>
      </c>
      <c r="H18">
        <f>G18/C$7*100</f>
        <v>103.77777777777777</v>
      </c>
      <c r="I18">
        <f>E18/C$8*100</f>
        <v>31.133333333333336</v>
      </c>
      <c r="J18" s="8" t="str">
        <f>IF(OR(H18&gt;100,I18&gt;100),"EXCESSO","OK")</f>
        <v>EXCESSO</v>
      </c>
    </row>
    <row r="19" spans="2:10" x14ac:dyDescent="0.25">
      <c r="B19" t="s">
        <v>30</v>
      </c>
      <c r="C19">
        <v>140</v>
      </c>
      <c r="D19">
        <v>0.04</v>
      </c>
      <c r="E19">
        <f>C18*D18</f>
        <v>7</v>
      </c>
      <c r="F19">
        <v>20</v>
      </c>
      <c r="G19">
        <f>C18*F18</f>
        <v>3500</v>
      </c>
      <c r="H19">
        <f>G19/C$7*100</f>
        <v>12.962962962962962</v>
      </c>
      <c r="I19">
        <f>E19/C$8*100</f>
        <v>7.7777777777777777</v>
      </c>
      <c r="J19" s="8" t="str">
        <f>IF(OR(H19&gt;100,I19&gt;100),"EXCESSO","OK")</f>
        <v>OK</v>
      </c>
    </row>
    <row r="20" spans="2:10" x14ac:dyDescent="0.25">
      <c r="B20" t="s">
        <v>31</v>
      </c>
      <c r="C20">
        <v>100</v>
      </c>
      <c r="D20">
        <v>0.03</v>
      </c>
      <c r="E20">
        <f>C19*D19</f>
        <v>5.6000000000000005</v>
      </c>
      <c r="F20">
        <v>15</v>
      </c>
      <c r="G20">
        <f>C19*F19</f>
        <v>2800</v>
      </c>
      <c r="H20">
        <f>G20/C$7*100</f>
        <v>10.37037037037037</v>
      </c>
      <c r="I20">
        <f>E20/C$8*100</f>
        <v>6.2222222222222223</v>
      </c>
      <c r="J20" s="8" t="str">
        <f>IF(OR(H20&gt;100,I20&gt;100),"EXCESSO","OK")</f>
        <v>OK</v>
      </c>
    </row>
    <row r="21" spans="2:10" x14ac:dyDescent="0.25">
      <c r="B21" t="s">
        <v>32</v>
      </c>
      <c r="C21">
        <v>100</v>
      </c>
      <c r="D21">
        <v>0.02</v>
      </c>
      <c r="E21">
        <f>C20*D20</f>
        <v>3</v>
      </c>
      <c r="F21">
        <v>10</v>
      </c>
      <c r="G21">
        <f>C20*F20</f>
        <v>1500</v>
      </c>
      <c r="H21">
        <f>G21/C$7*100</f>
        <v>5.5555555555555554</v>
      </c>
      <c r="I21">
        <f>E21/C$8*100</f>
        <v>3.3333333333333335</v>
      </c>
      <c r="J21" s="8" t="str">
        <f>IF(OR(H21&gt;100,I21&gt;100),"EXCESSO","OK")</f>
        <v>OK</v>
      </c>
    </row>
  </sheetData>
  <mergeCells count="1">
    <mergeCell ref="B2:M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3"/>
  <sheetViews>
    <sheetView workbookViewId="0"/>
  </sheetViews>
  <sheetFormatPr defaultRowHeight="15" x14ac:dyDescent="0.25"/>
  <sheetData>
    <row r="2" spans="2:12" ht="21" x14ac:dyDescent="0.25">
      <c r="B2" s="23" t="s">
        <v>96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5" spans="2:12" ht="18.75" x14ac:dyDescent="0.3">
      <c r="B5" s="1" t="s">
        <v>97</v>
      </c>
    </row>
    <row r="7" spans="2:12" x14ac:dyDescent="0.25">
      <c r="B7" s="3" t="s">
        <v>98</v>
      </c>
      <c r="C7" s="3" t="s">
        <v>50</v>
      </c>
      <c r="D7" s="3" t="s">
        <v>99</v>
      </c>
      <c r="E7" s="3" t="s">
        <v>50</v>
      </c>
      <c r="F7" s="3" t="s">
        <v>100</v>
      </c>
      <c r="G7" s="3" t="s">
        <v>101</v>
      </c>
      <c r="H7" s="3" t="s">
        <v>102</v>
      </c>
      <c r="I7" s="3" t="s">
        <v>103</v>
      </c>
      <c r="J7" s="3" t="s">
        <v>104</v>
      </c>
      <c r="K7" s="3" t="s">
        <v>105</v>
      </c>
    </row>
    <row r="8" spans="2:12" x14ac:dyDescent="0.25">
      <c r="B8" t="s">
        <v>61</v>
      </c>
      <c r="C8" t="s">
        <v>4</v>
      </c>
      <c r="D8" t="s">
        <v>106</v>
      </c>
      <c r="E8" t="s">
        <v>7</v>
      </c>
      <c r="F8">
        <v>1275</v>
      </c>
      <c r="G8" s="2">
        <v>10500</v>
      </c>
      <c r="H8" s="2">
        <v>8.24</v>
      </c>
      <c r="I8" s="2">
        <v>120</v>
      </c>
      <c r="J8" s="2">
        <v>850</v>
      </c>
      <c r="K8" s="2">
        <f t="shared" ref="K8:K13" si="0">F8+H8+I8</f>
        <v>1403.24</v>
      </c>
    </row>
    <row r="9" spans="2:12" x14ac:dyDescent="0.25">
      <c r="B9" t="s">
        <v>65</v>
      </c>
      <c r="C9" t="s">
        <v>4</v>
      </c>
      <c r="D9" t="s">
        <v>106</v>
      </c>
      <c r="E9" t="s">
        <v>7</v>
      </c>
      <c r="F9">
        <v>1289</v>
      </c>
      <c r="G9" s="2">
        <v>10650</v>
      </c>
      <c r="H9" s="2">
        <v>8.26</v>
      </c>
      <c r="I9" s="2">
        <v>120</v>
      </c>
      <c r="J9" s="2">
        <v>860</v>
      </c>
      <c r="K9" s="2">
        <f t="shared" si="0"/>
        <v>1417.26</v>
      </c>
    </row>
    <row r="10" spans="2:12" x14ac:dyDescent="0.25">
      <c r="B10" t="s">
        <v>70</v>
      </c>
      <c r="C10" t="s">
        <v>4</v>
      </c>
      <c r="D10" t="s">
        <v>106</v>
      </c>
      <c r="E10" t="s">
        <v>7</v>
      </c>
      <c r="F10">
        <v>1319</v>
      </c>
      <c r="G10" s="2">
        <v>11000</v>
      </c>
      <c r="H10" s="2">
        <v>8.34</v>
      </c>
      <c r="I10" s="2">
        <v>120</v>
      </c>
      <c r="J10" s="2">
        <v>880</v>
      </c>
      <c r="K10" s="2">
        <f t="shared" si="0"/>
        <v>1447.34</v>
      </c>
    </row>
    <row r="11" spans="2:12" x14ac:dyDescent="0.25">
      <c r="B11" t="s">
        <v>73</v>
      </c>
      <c r="C11" t="s">
        <v>74</v>
      </c>
      <c r="D11" t="s">
        <v>106</v>
      </c>
      <c r="E11" t="s">
        <v>7</v>
      </c>
      <c r="F11">
        <v>1456</v>
      </c>
      <c r="G11" s="2">
        <v>12100</v>
      </c>
      <c r="H11" s="2">
        <v>8.31</v>
      </c>
      <c r="I11" s="2">
        <v>140</v>
      </c>
      <c r="J11" s="2">
        <v>970</v>
      </c>
      <c r="K11" s="2">
        <f t="shared" si="0"/>
        <v>1604.31</v>
      </c>
    </row>
    <row r="12" spans="2:12" x14ac:dyDescent="0.25">
      <c r="B12" t="s">
        <v>76</v>
      </c>
      <c r="C12" t="s">
        <v>74</v>
      </c>
      <c r="D12" t="s">
        <v>106</v>
      </c>
      <c r="E12" t="s">
        <v>7</v>
      </c>
      <c r="F12">
        <v>1378</v>
      </c>
      <c r="G12" s="2">
        <v>11450</v>
      </c>
      <c r="H12" s="2">
        <v>8.31</v>
      </c>
      <c r="I12" s="2">
        <v>130</v>
      </c>
      <c r="J12" s="2">
        <v>920</v>
      </c>
      <c r="K12" s="2">
        <f t="shared" si="0"/>
        <v>1516.31</v>
      </c>
    </row>
    <row r="13" spans="2:12" x14ac:dyDescent="0.25">
      <c r="B13" t="s">
        <v>107</v>
      </c>
      <c r="C13" t="s">
        <v>74</v>
      </c>
      <c r="D13" t="s">
        <v>106</v>
      </c>
      <c r="E13" t="s">
        <v>7</v>
      </c>
      <c r="F13">
        <v>1498</v>
      </c>
      <c r="G13" s="2">
        <v>12400</v>
      </c>
      <c r="H13" s="2">
        <v>8.2799999999999994</v>
      </c>
      <c r="I13" s="2">
        <v>140</v>
      </c>
      <c r="J13" s="2">
        <v>1000</v>
      </c>
      <c r="K13" s="2">
        <f t="shared" si="0"/>
        <v>1646.28</v>
      </c>
    </row>
  </sheetData>
  <mergeCells count="1">
    <mergeCell ref="B2:L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25"/>
  <sheetViews>
    <sheetView workbookViewId="0"/>
  </sheetViews>
  <sheetFormatPr defaultRowHeight="15" x14ac:dyDescent="0.25"/>
  <sheetData>
    <row r="2" spans="2:14" ht="21" x14ac:dyDescent="0.25">
      <c r="B2" s="23" t="s">
        <v>108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5" spans="2:14" ht="18.75" x14ac:dyDescent="0.3">
      <c r="B5" s="1" t="s">
        <v>109</v>
      </c>
    </row>
    <row r="7" spans="2:14" x14ac:dyDescent="0.25">
      <c r="B7" s="8" t="s">
        <v>110</v>
      </c>
      <c r="C7" t="s">
        <v>111</v>
      </c>
      <c r="D7" t="s">
        <v>112</v>
      </c>
    </row>
    <row r="8" spans="2:14" x14ac:dyDescent="0.25">
      <c r="B8" s="8" t="s">
        <v>113</v>
      </c>
      <c r="C8" t="s">
        <v>114</v>
      </c>
      <c r="D8" t="s">
        <v>112</v>
      </c>
    </row>
    <row r="9" spans="2:14" x14ac:dyDescent="0.25">
      <c r="B9" s="8" t="s">
        <v>115</v>
      </c>
      <c r="C9" t="s">
        <v>116</v>
      </c>
      <c r="D9" t="s">
        <v>117</v>
      </c>
    </row>
    <row r="10" spans="2:14" x14ac:dyDescent="0.25">
      <c r="B10" s="8" t="s">
        <v>118</v>
      </c>
      <c r="C10" t="s">
        <v>119</v>
      </c>
      <c r="D10" t="s">
        <v>120</v>
      </c>
    </row>
    <row r="11" spans="2:14" x14ac:dyDescent="0.25">
      <c r="B11" s="8" t="s">
        <v>121</v>
      </c>
      <c r="C11" t="s">
        <v>122</v>
      </c>
      <c r="D11" t="s">
        <v>120</v>
      </c>
    </row>
    <row r="12" spans="2:14" x14ac:dyDescent="0.25">
      <c r="B12" s="8" t="s">
        <v>123</v>
      </c>
      <c r="C12" t="s">
        <v>124</v>
      </c>
      <c r="D12" t="s">
        <v>125</v>
      </c>
    </row>
    <row r="13" spans="2:14" x14ac:dyDescent="0.25">
      <c r="B13" s="8" t="s">
        <v>126</v>
      </c>
      <c r="C13" t="s">
        <v>127</v>
      </c>
      <c r="D13" t="s">
        <v>128</v>
      </c>
    </row>
    <row r="14" spans="2:14" x14ac:dyDescent="0.25">
      <c r="B14" s="8" t="s">
        <v>129</v>
      </c>
      <c r="C14" t="s">
        <v>130</v>
      </c>
      <c r="D14" t="s">
        <v>131</v>
      </c>
    </row>
    <row r="17" spans="2:8" ht="18.75" x14ac:dyDescent="0.3">
      <c r="B17" s="1" t="s">
        <v>132</v>
      </c>
    </row>
    <row r="19" spans="2:8" x14ac:dyDescent="0.25">
      <c r="B19" s="3" t="s">
        <v>48</v>
      </c>
      <c r="C19" s="3" t="s">
        <v>133</v>
      </c>
      <c r="D19" s="3" t="s">
        <v>134</v>
      </c>
      <c r="E19" s="3" t="s">
        <v>135</v>
      </c>
      <c r="F19" s="3" t="s">
        <v>136</v>
      </c>
      <c r="G19" s="3" t="s">
        <v>137</v>
      </c>
      <c r="H19" s="3" t="s">
        <v>138</v>
      </c>
    </row>
    <row r="20" spans="2:8" x14ac:dyDescent="0.25">
      <c r="B20" t="s">
        <v>60</v>
      </c>
      <c r="C20" s="14" t="s">
        <v>139</v>
      </c>
      <c r="D20" s="15" t="s">
        <v>140</v>
      </c>
      <c r="E20" s="14" t="s">
        <v>139</v>
      </c>
      <c r="F20" s="14" t="s">
        <v>139</v>
      </c>
      <c r="G20" s="14" t="s">
        <v>139</v>
      </c>
      <c r="H20" t="s">
        <v>141</v>
      </c>
    </row>
    <row r="21" spans="2:8" x14ac:dyDescent="0.25">
      <c r="B21" t="s">
        <v>64</v>
      </c>
      <c r="C21" s="15" t="s">
        <v>140</v>
      </c>
      <c r="D21" s="14" t="s">
        <v>139</v>
      </c>
      <c r="E21" s="15" t="s">
        <v>140</v>
      </c>
      <c r="F21" s="15" t="s">
        <v>140</v>
      </c>
      <c r="G21" s="15" t="s">
        <v>140</v>
      </c>
      <c r="H21" t="s">
        <v>142</v>
      </c>
    </row>
    <row r="22" spans="2:8" x14ac:dyDescent="0.25">
      <c r="B22" t="s">
        <v>69</v>
      </c>
      <c r="C22" s="14" t="s">
        <v>139</v>
      </c>
      <c r="D22" s="14" t="s">
        <v>139</v>
      </c>
      <c r="E22" s="14" t="s">
        <v>139</v>
      </c>
      <c r="F22" s="14" t="s">
        <v>139</v>
      </c>
      <c r="G22" s="14" t="s">
        <v>139</v>
      </c>
      <c r="H22" t="s">
        <v>143</v>
      </c>
    </row>
    <row r="23" spans="2:8" x14ac:dyDescent="0.25">
      <c r="B23" t="s">
        <v>72</v>
      </c>
      <c r="C23" s="15" t="s">
        <v>140</v>
      </c>
      <c r="D23" s="15" t="s">
        <v>140</v>
      </c>
      <c r="E23" s="15" t="s">
        <v>140</v>
      </c>
      <c r="F23" s="14" t="s">
        <v>139</v>
      </c>
      <c r="G23" s="15" t="s">
        <v>140</v>
      </c>
      <c r="H23" t="s">
        <v>144</v>
      </c>
    </row>
    <row r="24" spans="2:8" x14ac:dyDescent="0.25">
      <c r="B24" t="s">
        <v>75</v>
      </c>
      <c r="C24" s="16" t="s">
        <v>145</v>
      </c>
      <c r="D24" s="15" t="s">
        <v>140</v>
      </c>
      <c r="E24" s="16" t="s">
        <v>145</v>
      </c>
      <c r="F24" s="15" t="s">
        <v>140</v>
      </c>
      <c r="G24" s="16" t="s">
        <v>145</v>
      </c>
      <c r="H24" t="s">
        <v>146</v>
      </c>
    </row>
    <row r="25" spans="2:8" x14ac:dyDescent="0.25">
      <c r="B25" t="s">
        <v>77</v>
      </c>
      <c r="C25" s="14" t="s">
        <v>139</v>
      </c>
      <c r="D25" s="14" t="s">
        <v>139</v>
      </c>
      <c r="E25" s="14" t="s">
        <v>139</v>
      </c>
      <c r="F25" s="14" t="s">
        <v>139</v>
      </c>
      <c r="G25" s="14" t="s">
        <v>139</v>
      </c>
      <c r="H25" t="s">
        <v>147</v>
      </c>
    </row>
  </sheetData>
  <mergeCells count="1">
    <mergeCell ref="B2:N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5"/>
  <sheetViews>
    <sheetView workbookViewId="0"/>
  </sheetViews>
  <sheetFormatPr defaultRowHeight="15" x14ac:dyDescent="0.25"/>
  <sheetData>
    <row r="2" spans="2:16" ht="21" x14ac:dyDescent="0.25">
      <c r="B2" s="23" t="s">
        <v>148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5" spans="2:16" x14ac:dyDescent="0.25">
      <c r="B5" s="3" t="s">
        <v>48</v>
      </c>
      <c r="C5" s="3" t="s">
        <v>149</v>
      </c>
      <c r="D5" s="3" t="s">
        <v>150</v>
      </c>
      <c r="E5" s="3" t="s">
        <v>151</v>
      </c>
      <c r="F5" s="3" t="s">
        <v>49</v>
      </c>
      <c r="G5" s="3" t="s">
        <v>50</v>
      </c>
      <c r="H5" s="3" t="s">
        <v>100</v>
      </c>
      <c r="I5" s="3" t="s">
        <v>152</v>
      </c>
      <c r="J5" s="3" t="s">
        <v>153</v>
      </c>
      <c r="K5" s="3" t="s">
        <v>154</v>
      </c>
      <c r="L5" s="3" t="s">
        <v>155</v>
      </c>
      <c r="M5" s="3" t="s">
        <v>156</v>
      </c>
    </row>
    <row r="6" spans="2:16" x14ac:dyDescent="0.25">
      <c r="B6" t="s">
        <v>60</v>
      </c>
      <c r="C6" t="s">
        <v>157</v>
      </c>
      <c r="D6" t="s">
        <v>158</v>
      </c>
      <c r="E6" t="s">
        <v>159</v>
      </c>
      <c r="F6" t="s">
        <v>61</v>
      </c>
      <c r="G6" t="s">
        <v>4</v>
      </c>
      <c r="H6" t="s">
        <v>160</v>
      </c>
      <c r="I6" t="s">
        <v>62</v>
      </c>
      <c r="J6" t="s">
        <v>161</v>
      </c>
      <c r="K6" t="s">
        <v>162</v>
      </c>
      <c r="L6" t="s">
        <v>163</v>
      </c>
      <c r="M6" t="s">
        <v>164</v>
      </c>
    </row>
    <row r="7" spans="2:16" x14ac:dyDescent="0.25">
      <c r="B7" t="s">
        <v>64</v>
      </c>
      <c r="C7" t="s">
        <v>165</v>
      </c>
      <c r="D7" t="s">
        <v>166</v>
      </c>
      <c r="E7" t="s">
        <v>167</v>
      </c>
      <c r="F7" t="s">
        <v>65</v>
      </c>
      <c r="G7" t="s">
        <v>4</v>
      </c>
      <c r="H7" t="s">
        <v>168</v>
      </c>
      <c r="I7" t="s">
        <v>66</v>
      </c>
      <c r="J7" t="s">
        <v>169</v>
      </c>
      <c r="K7" t="s">
        <v>170</v>
      </c>
      <c r="L7" t="s">
        <v>171</v>
      </c>
      <c r="M7" t="s">
        <v>172</v>
      </c>
    </row>
    <row r="8" spans="2:16" x14ac:dyDescent="0.25">
      <c r="B8" t="s">
        <v>69</v>
      </c>
      <c r="C8" t="s">
        <v>173</v>
      </c>
      <c r="D8" t="s">
        <v>174</v>
      </c>
      <c r="E8" t="s">
        <v>175</v>
      </c>
      <c r="F8" t="s">
        <v>70</v>
      </c>
      <c r="G8" t="s">
        <v>4</v>
      </c>
      <c r="H8" t="s">
        <v>176</v>
      </c>
      <c r="I8" t="s">
        <v>71</v>
      </c>
      <c r="J8" t="s">
        <v>177</v>
      </c>
      <c r="K8" t="s">
        <v>162</v>
      </c>
      <c r="L8" t="s">
        <v>178</v>
      </c>
      <c r="M8" t="s">
        <v>179</v>
      </c>
    </row>
    <row r="9" spans="2:16" x14ac:dyDescent="0.25">
      <c r="B9" t="s">
        <v>72</v>
      </c>
      <c r="C9" t="s">
        <v>180</v>
      </c>
      <c r="D9" t="s">
        <v>181</v>
      </c>
      <c r="E9" t="s">
        <v>182</v>
      </c>
      <c r="F9" t="s">
        <v>73</v>
      </c>
      <c r="G9" t="s">
        <v>74</v>
      </c>
      <c r="H9" t="s">
        <v>183</v>
      </c>
      <c r="I9" t="s">
        <v>62</v>
      </c>
      <c r="J9" t="s">
        <v>184</v>
      </c>
      <c r="K9" t="s">
        <v>185</v>
      </c>
      <c r="L9" t="s">
        <v>186</v>
      </c>
      <c r="M9" t="s">
        <v>187</v>
      </c>
    </row>
    <row r="10" spans="2:16" x14ac:dyDescent="0.25">
      <c r="B10" t="s">
        <v>75</v>
      </c>
      <c r="C10" t="s">
        <v>188</v>
      </c>
      <c r="D10" t="s">
        <v>189</v>
      </c>
      <c r="E10" t="s">
        <v>190</v>
      </c>
      <c r="F10" t="s">
        <v>76</v>
      </c>
      <c r="G10" t="s">
        <v>74</v>
      </c>
      <c r="H10" t="s">
        <v>191</v>
      </c>
      <c r="I10" t="s">
        <v>66</v>
      </c>
      <c r="J10" t="s">
        <v>192</v>
      </c>
      <c r="K10" t="s">
        <v>193</v>
      </c>
      <c r="L10" t="s">
        <v>194</v>
      </c>
      <c r="M10" t="s">
        <v>195</v>
      </c>
    </row>
    <row r="11" spans="2:16" x14ac:dyDescent="0.25">
      <c r="B11" t="s">
        <v>77</v>
      </c>
      <c r="C11" t="s">
        <v>196</v>
      </c>
      <c r="D11" t="s">
        <v>197</v>
      </c>
      <c r="E11" t="s">
        <v>198</v>
      </c>
      <c r="F11" t="s">
        <v>78</v>
      </c>
      <c r="G11" t="s">
        <v>74</v>
      </c>
      <c r="H11" t="s">
        <v>199</v>
      </c>
      <c r="I11" t="s">
        <v>200</v>
      </c>
      <c r="J11" t="s">
        <v>201</v>
      </c>
      <c r="K11" t="s">
        <v>202</v>
      </c>
      <c r="L11" t="s">
        <v>203</v>
      </c>
      <c r="M11" t="s">
        <v>204</v>
      </c>
    </row>
    <row r="15" spans="2:16" ht="18.75" x14ac:dyDescent="0.3">
      <c r="B15" s="1" t="s">
        <v>205</v>
      </c>
    </row>
    <row r="17" spans="2:8" x14ac:dyDescent="0.25">
      <c r="B17" s="17" t="s">
        <v>12</v>
      </c>
      <c r="C17" s="3" t="s">
        <v>206</v>
      </c>
      <c r="D17" s="3" t="s">
        <v>64</v>
      </c>
      <c r="E17" s="3" t="s">
        <v>207</v>
      </c>
      <c r="F17" s="3" t="s">
        <v>72</v>
      </c>
      <c r="G17" s="3" t="s">
        <v>75</v>
      </c>
      <c r="H17" s="3" t="s">
        <v>208</v>
      </c>
    </row>
    <row r="18" spans="2:8" x14ac:dyDescent="0.25">
      <c r="B18" s="8" t="s">
        <v>209</v>
      </c>
      <c r="C18" s="2">
        <v>1170</v>
      </c>
      <c r="D18" s="2">
        <v>1180</v>
      </c>
      <c r="E18" s="18" t="s">
        <v>68</v>
      </c>
      <c r="F18" s="2">
        <v>1200</v>
      </c>
      <c r="G18" s="2">
        <v>1190</v>
      </c>
      <c r="H18" s="18" t="s">
        <v>68</v>
      </c>
    </row>
    <row r="19" spans="2:8" x14ac:dyDescent="0.25">
      <c r="B19" s="8" t="s">
        <v>210</v>
      </c>
      <c r="C19" s="2">
        <v>1150</v>
      </c>
      <c r="D19" s="2">
        <v>1160</v>
      </c>
      <c r="E19" s="18" t="s">
        <v>68</v>
      </c>
      <c r="F19" s="2">
        <v>1180</v>
      </c>
      <c r="G19" s="2">
        <v>1170</v>
      </c>
      <c r="H19" s="18" t="s">
        <v>68</v>
      </c>
    </row>
    <row r="20" spans="2:8" x14ac:dyDescent="0.25">
      <c r="B20" s="8" t="s">
        <v>211</v>
      </c>
      <c r="C20" s="2">
        <v>1130</v>
      </c>
      <c r="D20" s="2">
        <v>1140</v>
      </c>
      <c r="E20" s="18" t="s">
        <v>68</v>
      </c>
      <c r="F20" s="2">
        <v>1160</v>
      </c>
      <c r="G20" s="2">
        <v>1150</v>
      </c>
      <c r="H20" s="18" t="s">
        <v>68</v>
      </c>
    </row>
    <row r="21" spans="2:8" x14ac:dyDescent="0.25">
      <c r="B21" s="8" t="s">
        <v>212</v>
      </c>
      <c r="C21" s="2">
        <v>1110</v>
      </c>
      <c r="D21" s="2">
        <v>1120</v>
      </c>
      <c r="E21" s="18" t="s">
        <v>68</v>
      </c>
      <c r="F21" s="2">
        <v>1140</v>
      </c>
      <c r="G21" s="2">
        <v>1130</v>
      </c>
      <c r="H21" s="18" t="s">
        <v>68</v>
      </c>
    </row>
    <row r="22" spans="2:8" x14ac:dyDescent="0.25">
      <c r="B22" s="8" t="s">
        <v>213</v>
      </c>
      <c r="C22" s="2">
        <v>1090</v>
      </c>
      <c r="D22" s="2">
        <v>1100</v>
      </c>
      <c r="E22" s="18" t="s">
        <v>68</v>
      </c>
      <c r="F22" s="2">
        <v>1120</v>
      </c>
      <c r="G22" s="2">
        <v>1110</v>
      </c>
      <c r="H22" s="18" t="s">
        <v>68</v>
      </c>
    </row>
    <row r="23" spans="2:8" x14ac:dyDescent="0.25">
      <c r="B23" s="8" t="s">
        <v>214</v>
      </c>
      <c r="C23" s="2">
        <v>950</v>
      </c>
      <c r="D23" s="18" t="s">
        <v>68</v>
      </c>
      <c r="E23" s="2">
        <v>920</v>
      </c>
      <c r="F23" s="2">
        <v>980</v>
      </c>
      <c r="G23" s="18" t="s">
        <v>68</v>
      </c>
      <c r="H23" s="2">
        <v>940</v>
      </c>
    </row>
    <row r="24" spans="2:8" x14ac:dyDescent="0.25">
      <c r="B24" s="8" t="s">
        <v>215</v>
      </c>
      <c r="C24" s="2">
        <v>930</v>
      </c>
      <c r="D24" s="18" t="s">
        <v>68</v>
      </c>
      <c r="E24" s="2">
        <v>900</v>
      </c>
      <c r="F24" s="2">
        <v>960</v>
      </c>
      <c r="G24" s="18" t="s">
        <v>68</v>
      </c>
      <c r="H24" s="2">
        <v>920</v>
      </c>
    </row>
    <row r="25" spans="2:8" x14ac:dyDescent="0.25">
      <c r="B25" s="8" t="s">
        <v>216</v>
      </c>
      <c r="C25" s="2">
        <v>910</v>
      </c>
      <c r="D25" s="18" t="s">
        <v>68</v>
      </c>
      <c r="E25" s="2">
        <v>880</v>
      </c>
      <c r="F25" s="2">
        <v>940</v>
      </c>
      <c r="G25" s="18" t="s">
        <v>68</v>
      </c>
      <c r="H25" s="2">
        <v>900</v>
      </c>
    </row>
  </sheetData>
  <mergeCells count="1">
    <mergeCell ref="B2:P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🎯 Análise Estratégica</vt:lpstr>
      <vt:lpstr>📊 Comparativo Fornecedores</vt:lpstr>
      <vt:lpstr>🚛 Simulador Carregamento</vt:lpstr>
      <vt:lpstr>🛣️ Análise Frete</vt:lpstr>
      <vt:lpstr>🔍 Controle Qualidade</vt:lpstr>
      <vt:lpstr>📋 Dados Fornecedores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Anderson Enside</cp:lastModifiedBy>
  <dcterms:created xsi:type="dcterms:W3CDTF">2025-07-18T18:40:12Z</dcterms:created>
  <dcterms:modified xsi:type="dcterms:W3CDTF">2025-07-25T09:01:12Z</dcterms:modified>
</cp:coreProperties>
</file>