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Papers and Projects\Curculio Mechanical Testing\Tensile Testing\"/>
    </mc:Choice>
  </mc:AlternateContent>
  <bookViews>
    <workbookView xWindow="0" yWindow="0" windowWidth="20730" windowHeight="11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" i="1" l="1"/>
  <c r="Q15" i="1"/>
  <c r="Q11" i="1"/>
  <c r="T11" i="1" s="1"/>
  <c r="Q20" i="1"/>
  <c r="T20" i="1" s="1"/>
  <c r="H15" i="1"/>
  <c r="K15" i="1" s="1"/>
  <c r="M15" i="1" s="1"/>
  <c r="H11" i="1"/>
  <c r="K11" i="1" s="1"/>
  <c r="M11" i="1" s="1"/>
  <c r="H20" i="1"/>
  <c r="J20" i="1" s="1"/>
  <c r="H19" i="1"/>
  <c r="I15" i="1" l="1"/>
  <c r="I20" i="1"/>
  <c r="P20" i="1" s="1"/>
  <c r="I11" i="1"/>
  <c r="K20" i="1"/>
  <c r="M20" i="1" s="1"/>
  <c r="J11" i="1"/>
  <c r="O11" i="1" s="1"/>
  <c r="J15" i="1"/>
  <c r="O15" i="1" s="1"/>
  <c r="N15" i="1"/>
  <c r="T9" i="1"/>
  <c r="T17" i="1"/>
  <c r="Q17" i="1"/>
  <c r="Q18" i="1"/>
  <c r="T18" i="1" s="1"/>
  <c r="Q16" i="1"/>
  <c r="T16" i="1" s="1"/>
  <c r="Q19" i="1"/>
  <c r="T19" i="1" s="1"/>
  <c r="Q13" i="1"/>
  <c r="T13" i="1" s="1"/>
  <c r="Q14" i="1"/>
  <c r="T14" i="1" s="1"/>
  <c r="Q12" i="1"/>
  <c r="T12" i="1" s="1"/>
  <c r="Q9" i="1"/>
  <c r="Q10" i="1"/>
  <c r="T10" i="1" s="1"/>
  <c r="Q8" i="1"/>
  <c r="T8" i="1" s="1"/>
  <c r="Q6" i="1"/>
  <c r="T6" i="1" s="1"/>
  <c r="Q7" i="1"/>
  <c r="T7" i="1" s="1"/>
  <c r="Q5" i="1"/>
  <c r="T5" i="1" s="1"/>
  <c r="Q4" i="1"/>
  <c r="T4" i="1" s="1"/>
  <c r="Q3" i="1"/>
  <c r="T3" i="1" s="1"/>
  <c r="Q2" i="1"/>
  <c r="T2" i="1" s="1"/>
  <c r="N20" i="1" l="1"/>
  <c r="N11" i="1"/>
  <c r="P11" i="1"/>
  <c r="P15" i="1"/>
  <c r="O20" i="1"/>
  <c r="H2" i="1"/>
  <c r="K2" i="1" s="1"/>
  <c r="H5" i="1"/>
  <c r="H6" i="1"/>
  <c r="H7" i="1"/>
  <c r="H8" i="1"/>
  <c r="H9" i="1"/>
  <c r="H10" i="1"/>
  <c r="K10" i="1" s="1"/>
  <c r="H12" i="1"/>
  <c r="H13" i="1"/>
  <c r="H14" i="1"/>
  <c r="H16" i="1"/>
  <c r="H17" i="1"/>
  <c r="H18" i="1"/>
  <c r="H4" i="1"/>
  <c r="H3" i="1"/>
  <c r="I19" i="1" l="1"/>
  <c r="K16" i="1" l="1"/>
  <c r="M16" i="1" s="1"/>
  <c r="K5" i="1"/>
  <c r="M5" i="1" s="1"/>
  <c r="K7" i="1"/>
  <c r="M7" i="1" s="1"/>
  <c r="M10" i="1"/>
  <c r="K14" i="1"/>
  <c r="M14" i="1" s="1"/>
  <c r="J19" i="1"/>
  <c r="J16" i="1"/>
  <c r="J3" i="1"/>
  <c r="J5" i="1"/>
  <c r="J7" i="1"/>
  <c r="J9" i="1"/>
  <c r="J10" i="1"/>
  <c r="J14" i="1"/>
  <c r="I16" i="1"/>
  <c r="I5" i="1"/>
  <c r="N5" i="1" s="1"/>
  <c r="I7" i="1"/>
  <c r="I10" i="1"/>
  <c r="I14" i="1"/>
  <c r="J6" i="1"/>
  <c r="K8" i="1"/>
  <c r="M8" i="1" s="1"/>
  <c r="K9" i="1"/>
  <c r="M9" i="1" s="1"/>
  <c r="J12" i="1"/>
  <c r="K13" i="1"/>
  <c r="M13" i="1" s="1"/>
  <c r="J4" i="1"/>
  <c r="K3" i="1"/>
  <c r="J18" i="1"/>
  <c r="K19" i="1"/>
  <c r="M19" i="1" s="1"/>
  <c r="M2" i="1"/>
  <c r="K17" i="1"/>
  <c r="M17" i="1" s="1"/>
  <c r="N19" i="1" l="1"/>
  <c r="N14" i="1"/>
  <c r="P7" i="1"/>
  <c r="P16" i="1"/>
  <c r="O16" i="1"/>
  <c r="P10" i="1"/>
  <c r="N10" i="1"/>
  <c r="O7" i="1"/>
  <c r="N16" i="1"/>
  <c r="N7" i="1"/>
  <c r="P14" i="1"/>
  <c r="O9" i="1"/>
  <c r="O14" i="1"/>
  <c r="P5" i="1"/>
  <c r="P19" i="1"/>
  <c r="O5" i="1"/>
  <c r="O19" i="1"/>
  <c r="O10" i="1"/>
  <c r="M3" i="1"/>
  <c r="O3" i="1"/>
  <c r="I18" i="1"/>
  <c r="K18" i="1"/>
  <c r="M18" i="1" s="1"/>
  <c r="I17" i="1"/>
  <c r="I12" i="1"/>
  <c r="I6" i="1"/>
  <c r="J17" i="1"/>
  <c r="J8" i="1"/>
  <c r="J2" i="1"/>
  <c r="K12" i="1"/>
  <c r="M12" i="1" s="1"/>
  <c r="K6" i="1"/>
  <c r="M6" i="1" s="1"/>
  <c r="I4" i="1"/>
  <c r="K4" i="1"/>
  <c r="M4" i="1" s="1"/>
  <c r="I9" i="1"/>
  <c r="I3" i="1"/>
  <c r="P3" i="1" s="1"/>
  <c r="J13" i="1"/>
  <c r="I8" i="1"/>
  <c r="I2" i="1"/>
  <c r="I13" i="1"/>
  <c r="P8" i="1" l="1"/>
  <c r="N3" i="1"/>
  <c r="O4" i="1"/>
  <c r="O13" i="1"/>
  <c r="N18" i="1"/>
  <c r="P18" i="1"/>
  <c r="O18" i="1"/>
  <c r="N9" i="1"/>
  <c r="P9" i="1"/>
  <c r="O17" i="1"/>
  <c r="N13" i="1"/>
  <c r="P13" i="1"/>
  <c r="N6" i="1"/>
  <c r="P6" i="1"/>
  <c r="O8" i="1"/>
  <c r="N12" i="1"/>
  <c r="P12" i="1"/>
  <c r="O12" i="1"/>
  <c r="N8" i="1"/>
  <c r="N17" i="1"/>
  <c r="P17" i="1"/>
  <c r="O6" i="1"/>
  <c r="P4" i="1"/>
  <c r="N4" i="1"/>
  <c r="N2" i="1"/>
  <c r="P2" i="1"/>
  <c r="O2" i="1"/>
</calcChain>
</file>

<file path=xl/sharedStrings.xml><?xml version="1.0" encoding="utf-8"?>
<sst xmlns="http://schemas.openxmlformats.org/spreadsheetml/2006/main" count="96" uniqueCount="34">
  <si>
    <t>ASUHIC#</t>
  </si>
  <si>
    <t>Species</t>
  </si>
  <si>
    <t>uniformis</t>
  </si>
  <si>
    <t>Mount</t>
  </si>
  <si>
    <t>Surface</t>
  </si>
  <si>
    <t>Exterior (px)</t>
  </si>
  <si>
    <t>Exo-Endo (px)</t>
  </si>
  <si>
    <t>Interior (px)</t>
  </si>
  <si>
    <t>caryae</t>
  </si>
  <si>
    <t>humeralis</t>
  </si>
  <si>
    <t>proboscideus</t>
  </si>
  <si>
    <t>sulcatulus</t>
  </si>
  <si>
    <t>Pixel length (mm)</t>
  </si>
  <si>
    <t>Exocuticle (mm2)</t>
  </si>
  <si>
    <t>Endocuticle (mm2)</t>
  </si>
  <si>
    <t>Total Area (mm2)</t>
  </si>
  <si>
    <t>Fmax (N)</t>
  </si>
  <si>
    <t>UTS (MPa)</t>
  </si>
  <si>
    <t>%Endo</t>
  </si>
  <si>
    <t>Exo/Endo</t>
  </si>
  <si>
    <t>apical</t>
  </si>
  <si>
    <t>basal</t>
  </si>
  <si>
    <t>%Exo</t>
  </si>
  <si>
    <t>Length (px)</t>
  </si>
  <si>
    <t>Mag</t>
  </si>
  <si>
    <t>Length(mm)</t>
  </si>
  <si>
    <t>1.0X</t>
  </si>
  <si>
    <t>1.25X</t>
  </si>
  <si>
    <t>2.5X</t>
  </si>
  <si>
    <t>2.0X</t>
  </si>
  <si>
    <t>1.6X</t>
  </si>
  <si>
    <t>m/px</t>
  </si>
  <si>
    <t>victoriensis</t>
  </si>
  <si>
    <t>plastic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</si>
</sst>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Endocuticle surface</a:t>
            </a:r>
            <a:r>
              <a:rPr lang="en-US" baseline="0"/>
              <a:t> area and maximum tensile force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caryae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Sheet1!$J$2:$J$5</c:f>
              <c:numCache>
                <c:formatCode>General</c:formatCode>
                <c:ptCount val="4"/>
                <c:pt idx="0">
                  <c:v>2.319864263551772E-2</c:v>
                </c:pt>
                <c:pt idx="1">
                  <c:v>3.6159472589648925E-2</c:v>
                </c:pt>
                <c:pt idx="2">
                  <c:v>1.8862425186149497E-2</c:v>
                </c:pt>
                <c:pt idx="3">
                  <c:v>2.5104067156076326E-2</c:v>
                </c:pt>
              </c:numCache>
            </c:numRef>
          </c:xVal>
          <c:yVal>
            <c:numRef>
              <c:f>Sheet1!$L$2:$L$5</c:f>
              <c:numCache>
                <c:formatCode>General</c:formatCode>
                <c:ptCount val="4"/>
                <c:pt idx="0">
                  <c:v>5.3342738000000001</c:v>
                </c:pt>
                <c:pt idx="1">
                  <c:v>6.4675808000000004</c:v>
                </c:pt>
                <c:pt idx="2">
                  <c:v>3.5840825999999999</c:v>
                </c:pt>
                <c:pt idx="3">
                  <c:v>4.3216481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9-4A4B-B8D7-05607FBA62E0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humeralis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Sheet1!$J$6:$J$7</c:f>
              <c:numCache>
                <c:formatCode>General</c:formatCode>
                <c:ptCount val="2"/>
                <c:pt idx="0">
                  <c:v>1.7228359264590209E-2</c:v>
                </c:pt>
                <c:pt idx="1">
                  <c:v>1.9139448218277205E-2</c:v>
                </c:pt>
              </c:numCache>
            </c:numRef>
          </c:xVal>
          <c:yVal>
            <c:numRef>
              <c:f>Sheet1!$L$6:$L$7</c:f>
              <c:numCache>
                <c:formatCode>General</c:formatCode>
                <c:ptCount val="2"/>
                <c:pt idx="0">
                  <c:v>2.5828912000000002</c:v>
                </c:pt>
                <c:pt idx="1">
                  <c:v>5.2311338999999997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C9-4A4B-B8D7-05607FBA62E0}"/>
            </c:ext>
          </c:extLst>
        </c:ser>
        <c:ser>
          <c:idx val="2"/>
          <c:order val="2"/>
          <c:tx>
            <c:strRef>
              <c:f>Sheet1!$B$8</c:f>
              <c:strCache>
                <c:ptCount val="1"/>
                <c:pt idx="0">
                  <c:v>proboscideus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Sheet1!$J$8:$J$10</c:f>
              <c:numCache>
                <c:formatCode>General</c:formatCode>
                <c:ptCount val="3"/>
                <c:pt idx="0">
                  <c:v>1.0359068957651396E-2</c:v>
                </c:pt>
                <c:pt idx="1">
                  <c:v>1.0839807557690123E-2</c:v>
                </c:pt>
                <c:pt idx="2">
                  <c:v>1.4125851528106602E-2</c:v>
                </c:pt>
              </c:numCache>
            </c:numRef>
          </c:xVal>
          <c:yVal>
            <c:numRef>
              <c:f>Sheet1!$L$8:$L$10</c:f>
              <c:numCache>
                <c:formatCode>General</c:formatCode>
                <c:ptCount val="3"/>
                <c:pt idx="0">
                  <c:v>2.1439984000000001</c:v>
                </c:pt>
                <c:pt idx="1">
                  <c:v>1.736783</c:v>
                </c:pt>
                <c:pt idx="2">
                  <c:v>2.1857110999999998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C9-4A4B-B8D7-05607FBA62E0}"/>
            </c:ext>
          </c:extLst>
        </c:ser>
        <c:ser>
          <c:idx val="3"/>
          <c:order val="3"/>
          <c:tx>
            <c:strRef>
              <c:f>Sheet1!$B$11</c:f>
              <c:strCache>
                <c:ptCount val="1"/>
                <c:pt idx="0">
                  <c:v>sulcatulus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Sheet1!$J$11:$J$14</c:f>
              <c:numCache>
                <c:formatCode>General</c:formatCode>
                <c:ptCount val="4"/>
                <c:pt idx="0">
                  <c:v>1.025208797090248E-2</c:v>
                </c:pt>
                <c:pt idx="1">
                  <c:v>1.3353517657935155E-2</c:v>
                </c:pt>
                <c:pt idx="2">
                  <c:v>1.7358573855385591E-2</c:v>
                </c:pt>
                <c:pt idx="3">
                  <c:v>1.8015698268288752E-2</c:v>
                </c:pt>
              </c:numCache>
            </c:numRef>
          </c:xVal>
          <c:yVal>
            <c:numRef>
              <c:f>Sheet1!$L$11:$L$14</c:f>
              <c:numCache>
                <c:formatCode>General</c:formatCode>
                <c:ptCount val="4"/>
                <c:pt idx="0">
                  <c:v>1.1852844</c:v>
                </c:pt>
                <c:pt idx="1">
                  <c:v>2.1271718000000002</c:v>
                </c:pt>
                <c:pt idx="2">
                  <c:v>2.4255108999999999</c:v>
                </c:pt>
                <c:pt idx="3">
                  <c:v>2.6222240999999999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C9-4A4B-B8D7-05607FBA62E0}"/>
            </c:ext>
          </c:extLst>
        </c:ser>
        <c:ser>
          <c:idx val="4"/>
          <c:order val="4"/>
          <c:tx>
            <c:strRef>
              <c:f>Sheet1!$B$15</c:f>
              <c:strCache>
                <c:ptCount val="1"/>
                <c:pt idx="0">
                  <c:v>uniformis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Sheet1!$J$15:$J$19</c:f>
              <c:numCache>
                <c:formatCode>General</c:formatCode>
                <c:ptCount val="5"/>
                <c:pt idx="0">
                  <c:v>1.3832904283183269E-2</c:v>
                </c:pt>
                <c:pt idx="1">
                  <c:v>1.3364285575689791E-2</c:v>
                </c:pt>
                <c:pt idx="2">
                  <c:v>1.6569269142881468E-2</c:v>
                </c:pt>
                <c:pt idx="3">
                  <c:v>1.1185429240160192E-2</c:v>
                </c:pt>
                <c:pt idx="4">
                  <c:v>1.1232759150574785E-2</c:v>
                </c:pt>
              </c:numCache>
            </c:numRef>
          </c:xVal>
          <c:yVal>
            <c:numRef>
              <c:f>Sheet1!$L$15:$L$19</c:f>
              <c:numCache>
                <c:formatCode>General</c:formatCode>
                <c:ptCount val="5"/>
                <c:pt idx="0">
                  <c:v>1.7587828999999999</c:v>
                </c:pt>
                <c:pt idx="1">
                  <c:v>1.8501333</c:v>
                </c:pt>
                <c:pt idx="2">
                  <c:v>2.0222728000000001</c:v>
                </c:pt>
                <c:pt idx="3">
                  <c:v>2.3878853000000002</c:v>
                </c:pt>
                <c:pt idx="4">
                  <c:v>1.4324250999999999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C9-4A4B-B8D7-05607FBA62E0}"/>
            </c:ext>
          </c:extLst>
        </c:ser>
        <c:ser>
          <c:idx val="5"/>
          <c:order val="5"/>
          <c:tx>
            <c:strRef>
              <c:f>Sheet1!$B$20</c:f>
              <c:strCache>
                <c:ptCount val="1"/>
                <c:pt idx="0">
                  <c:v>victoriensis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Sheet1!$J$20</c:f>
              <c:numCache>
                <c:formatCode>General</c:formatCode>
                <c:ptCount val="1"/>
                <c:pt idx="0">
                  <c:v>1.4040666402476294E-2</c:v>
                </c:pt>
              </c:numCache>
            </c:numRef>
          </c:xVal>
          <c:yVal>
            <c:numRef>
              <c:f>Sheet1!$L$20</c:f>
              <c:numCache>
                <c:formatCode>General</c:formatCode>
                <c:ptCount val="1"/>
                <c:pt idx="0">
                  <c:v>2.1997905000000002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C9-4A4B-B8D7-05607FBA6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241344"/>
        <c:axId val="229237888"/>
      </c:scatterChart>
      <c:valAx>
        <c:axId val="22924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Endocuticle</a:t>
                </a:r>
                <a:r>
                  <a:rPr lang="en-US" baseline="0"/>
                  <a:t> surface area (mm2)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9237888"/>
        <c:crosses val="autoZero"/>
        <c:crossBetween val="midCat"/>
      </c:valAx>
      <c:valAx>
        <c:axId val="229237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 max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9241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21</xdr:row>
      <xdr:rowOff>4761</xdr:rowOff>
    </xdr:from>
    <xdr:to>
      <xdr:col>9</xdr:col>
      <xdr:colOff>742950</xdr:colOff>
      <xdr:row>42</xdr:row>
      <xdr:rowOff>114300</xdr:rowOff>
    </xdr:to>
    <xdr:graphicFrame macro="">
      <xdr:nvGraphicFramePr>
        <xdr:cNvPr id="21" name="Chart 20" title="Endocuticle Area and Fmax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C0C0C0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C22" sqref="C22"/>
    </sheetView>
  </sheetViews>
  <sheetFormatPr defaultRowHeight="15" x14ac:dyDescent="0.25"/>
  <cols>
    <col min="1" max="1" width="10" customWidth="1"/>
    <col min="2" max="2" width="13.28515625" customWidth="1"/>
    <col min="3" max="3" width="11.140625" customWidth="1"/>
    <col min="5" max="5" width="12.28515625" customWidth="1"/>
    <col min="6" max="6" width="13.85546875" customWidth="1"/>
    <col min="7" max="7" width="12" customWidth="1"/>
    <col min="8" max="8" width="17.140625" customWidth="1"/>
    <col min="9" max="9" width="17.42578125" customWidth="1"/>
    <col min="10" max="10" width="18.140625" customWidth="1"/>
    <col min="11" max="11" width="16" customWidth="1"/>
    <col min="12" max="12" width="14" customWidth="1"/>
  </cols>
  <sheetData>
    <row r="1" spans="1:20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22</v>
      </c>
      <c r="O1" t="s">
        <v>18</v>
      </c>
      <c r="P1" t="s">
        <v>19</v>
      </c>
      <c r="Q1" t="s">
        <v>23</v>
      </c>
      <c r="R1" t="s">
        <v>24</v>
      </c>
      <c r="S1" t="s">
        <v>31</v>
      </c>
      <c r="T1" t="s">
        <v>25</v>
      </c>
    </row>
    <row r="2" spans="1:20" x14ac:dyDescent="0.25">
      <c r="A2">
        <v>19613</v>
      </c>
      <c r="B2" t="s">
        <v>8</v>
      </c>
      <c r="C2" t="s">
        <v>20</v>
      </c>
      <c r="D2" t="s">
        <v>20</v>
      </c>
      <c r="E2">
        <v>100049.18799999999</v>
      </c>
      <c r="F2">
        <v>89095.945000000007</v>
      </c>
      <c r="G2">
        <v>40543.883000000002</v>
      </c>
      <c r="H2">
        <f>(0.16589706/1000)*(25/6)</f>
        <v>6.9123775000000008E-4</v>
      </c>
      <c r="I2">
        <f t="shared" ref="I2:I12" si="0">(E2-F2)*(H2^2)</f>
        <v>5.2335649525448724E-3</v>
      </c>
      <c r="J2">
        <f t="shared" ref="J2:J12" si="1">(F2-G2)*(H2^2)</f>
        <v>2.319864263551772E-2</v>
      </c>
      <c r="K2">
        <f t="shared" ref="K2:K12" si="2">(E2-G2)*(H2^2)</f>
        <v>2.8432207588062593E-2</v>
      </c>
      <c r="L2">
        <v>5.3342738000000001</v>
      </c>
      <c r="M2">
        <f t="shared" ref="M2:M12" si="3">L2/K2</f>
        <v>187.61377509918091</v>
      </c>
      <c r="N2">
        <f t="shared" ref="N2:N12" si="4">I2/K2</f>
        <v>0.18407170587563559</v>
      </c>
      <c r="O2">
        <f t="shared" ref="O2:O12" si="5">J2/K2</f>
        <v>0.81592829412436441</v>
      </c>
      <c r="P2">
        <f t="shared" ref="P2:P12" si="6">I2/J2</f>
        <v>0.22559789530669133</v>
      </c>
      <c r="Q2">
        <f>1864+1180</f>
        <v>3044</v>
      </c>
      <c r="R2" t="s">
        <v>26</v>
      </c>
      <c r="S2" s="1">
        <v>3.6441520862640598E-6</v>
      </c>
      <c r="T2" s="2">
        <f t="shared" ref="T2:T12" si="7">Q2*S2*1000</f>
        <v>11.092798950587799</v>
      </c>
    </row>
    <row r="3" spans="1:20" x14ac:dyDescent="0.25">
      <c r="A3">
        <v>19614</v>
      </c>
      <c r="B3" t="s">
        <v>8</v>
      </c>
      <c r="C3" t="s">
        <v>20</v>
      </c>
      <c r="D3" t="s">
        <v>20</v>
      </c>
      <c r="E3">
        <v>363461.09399999998</v>
      </c>
      <c r="F3">
        <v>311868.40600000002</v>
      </c>
      <c r="G3">
        <v>245013.641</v>
      </c>
      <c r="H3">
        <f>(0.17650463/1000)*(25/6)</f>
        <v>7.3543595833333337E-4</v>
      </c>
      <c r="I3">
        <f t="shared" si="0"/>
        <v>2.790473330602998E-2</v>
      </c>
      <c r="J3">
        <f t="shared" si="1"/>
        <v>3.6159472589648925E-2</v>
      </c>
      <c r="K3">
        <f t="shared" si="2"/>
        <v>6.4064205895678905E-2</v>
      </c>
      <c r="L3">
        <v>6.4675808000000004</v>
      </c>
      <c r="M3">
        <f t="shared" si="3"/>
        <v>100.95467054616586</v>
      </c>
      <c r="N3">
        <f t="shared" si="4"/>
        <v>0.43557448212921873</v>
      </c>
      <c r="O3">
        <f t="shared" si="5"/>
        <v>0.56442551787078132</v>
      </c>
      <c r="P3">
        <f t="shared" si="6"/>
        <v>0.77171295120100947</v>
      </c>
      <c r="Q3">
        <f>239+3325</f>
        <v>3564</v>
      </c>
      <c r="R3" t="s">
        <v>26</v>
      </c>
      <c r="S3" s="1">
        <v>3.6441520862640598E-6</v>
      </c>
      <c r="T3" s="2">
        <f t="shared" si="7"/>
        <v>12.987758035445109</v>
      </c>
    </row>
    <row r="4" spans="1:20" x14ac:dyDescent="0.25">
      <c r="A4">
        <v>19615</v>
      </c>
      <c r="B4" t="s">
        <v>8</v>
      </c>
      <c r="C4" t="s">
        <v>21</v>
      </c>
      <c r="D4" t="s">
        <v>21</v>
      </c>
      <c r="E4">
        <v>86157.398000000001</v>
      </c>
      <c r="F4">
        <v>77720.070000000007</v>
      </c>
      <c r="G4">
        <v>38243.207000000002</v>
      </c>
      <c r="H4">
        <f t="shared" ref="H4:H10" si="8">(0.16589706/1000)*(25/6)</f>
        <v>6.9123775000000008E-4</v>
      </c>
      <c r="I4">
        <f t="shared" si="0"/>
        <v>4.0314365447681145E-3</v>
      </c>
      <c r="J4">
        <f t="shared" si="1"/>
        <v>1.8862425186149497E-2</v>
      </c>
      <c r="K4">
        <f t="shared" si="2"/>
        <v>2.2893861730917613E-2</v>
      </c>
      <c r="L4">
        <v>3.5840825999999999</v>
      </c>
      <c r="M4">
        <f t="shared" si="3"/>
        <v>156.55212048213701</v>
      </c>
      <c r="N4">
        <f t="shared" si="4"/>
        <v>0.17609246496512887</v>
      </c>
      <c r="O4">
        <f t="shared" si="5"/>
        <v>0.82390753503487113</v>
      </c>
      <c r="P4">
        <f t="shared" si="6"/>
        <v>0.21372843125858285</v>
      </c>
      <c r="Q4">
        <f>2025+825</f>
        <v>2850</v>
      </c>
      <c r="R4" t="s">
        <v>26</v>
      </c>
      <c r="S4" s="1">
        <v>3.6441520862640598E-6</v>
      </c>
      <c r="T4" s="2">
        <f t="shared" si="7"/>
        <v>10.385833445852571</v>
      </c>
    </row>
    <row r="5" spans="1:20" x14ac:dyDescent="0.25">
      <c r="A5">
        <v>19616</v>
      </c>
      <c r="B5" t="s">
        <v>8</v>
      </c>
      <c r="C5" t="s">
        <v>21</v>
      </c>
      <c r="D5" t="s">
        <v>20</v>
      </c>
      <c r="E5">
        <v>108190.383</v>
      </c>
      <c r="F5">
        <v>97236.398000000001</v>
      </c>
      <c r="G5">
        <v>44696.504000000001</v>
      </c>
      <c r="H5">
        <f t="shared" si="8"/>
        <v>6.9123775000000008E-4</v>
      </c>
      <c r="I5">
        <f t="shared" si="0"/>
        <v>5.2339194872881309E-3</v>
      </c>
      <c r="J5">
        <f t="shared" si="1"/>
        <v>2.5104067156076326E-2</v>
      </c>
      <c r="K5">
        <f t="shared" si="2"/>
        <v>3.0337986643364456E-2</v>
      </c>
      <c r="L5">
        <v>4.3216481</v>
      </c>
      <c r="M5">
        <f t="shared" si="3"/>
        <v>142.45006271519449</v>
      </c>
      <c r="N5">
        <f t="shared" si="4"/>
        <v>0.17252033066053502</v>
      </c>
      <c r="O5">
        <f t="shared" si="5"/>
        <v>0.82747966933946504</v>
      </c>
      <c r="P5">
        <f t="shared" si="6"/>
        <v>0.20848890559238661</v>
      </c>
      <c r="Q5">
        <f>1404+1480</f>
        <v>2884</v>
      </c>
      <c r="R5" t="s">
        <v>27</v>
      </c>
      <c r="S5" s="1">
        <v>2.9022568471910999E-6</v>
      </c>
      <c r="T5" s="2">
        <f t="shared" si="7"/>
        <v>8.3701087472991311</v>
      </c>
    </row>
    <row r="6" spans="1:20" x14ac:dyDescent="0.25">
      <c r="A6">
        <v>19618</v>
      </c>
      <c r="B6" t="s">
        <v>9</v>
      </c>
      <c r="C6" t="s">
        <v>20</v>
      </c>
      <c r="D6" t="s">
        <v>20</v>
      </c>
      <c r="E6">
        <v>76866.25</v>
      </c>
      <c r="F6">
        <v>64647.745999999999</v>
      </c>
      <c r="G6">
        <v>28590.793000000001</v>
      </c>
      <c r="H6">
        <f t="shared" si="8"/>
        <v>6.9123775000000008E-4</v>
      </c>
      <c r="I6">
        <f t="shared" si="0"/>
        <v>5.8381188390442366E-3</v>
      </c>
      <c r="J6">
        <f t="shared" si="1"/>
        <v>1.7228359264590209E-2</v>
      </c>
      <c r="K6">
        <f t="shared" si="2"/>
        <v>2.3066478103634446E-2</v>
      </c>
      <c r="L6">
        <v>2.5828912000000002</v>
      </c>
      <c r="M6">
        <f t="shared" si="3"/>
        <v>111.9759673928301</v>
      </c>
      <c r="N6">
        <f t="shared" si="4"/>
        <v>0.25309970654446634</v>
      </c>
      <c r="O6">
        <f t="shared" si="5"/>
        <v>0.74690029345553366</v>
      </c>
      <c r="P6">
        <f t="shared" si="6"/>
        <v>0.33886679221064531</v>
      </c>
      <c r="Q6">
        <f>2406/105*134</f>
        <v>3070.514285714286</v>
      </c>
      <c r="R6" t="s">
        <v>28</v>
      </c>
      <c r="S6" s="1">
        <v>1.43550512834468E-6</v>
      </c>
      <c r="T6" s="2">
        <f t="shared" si="7"/>
        <v>4.4077390037984596</v>
      </c>
    </row>
    <row r="7" spans="1:20" x14ac:dyDescent="0.25">
      <c r="A7">
        <v>19621</v>
      </c>
      <c r="B7" t="s">
        <v>9</v>
      </c>
      <c r="C7" t="s">
        <v>21</v>
      </c>
      <c r="D7" t="s">
        <v>21</v>
      </c>
      <c r="E7">
        <v>82224.226999999999</v>
      </c>
      <c r="F7">
        <v>71400.656000000003</v>
      </c>
      <c r="G7">
        <v>31344.016</v>
      </c>
      <c r="H7">
        <f t="shared" si="8"/>
        <v>6.9123775000000008E-4</v>
      </c>
      <c r="I7">
        <f t="shared" si="0"/>
        <v>5.1716064225892826E-3</v>
      </c>
      <c r="J7">
        <f t="shared" si="1"/>
        <v>1.9139448218277205E-2</v>
      </c>
      <c r="K7">
        <f t="shared" si="2"/>
        <v>2.4311054640866487E-2</v>
      </c>
      <c r="L7">
        <v>5.2311338999999997</v>
      </c>
      <c r="M7">
        <f t="shared" si="3"/>
        <v>215.17511178665811</v>
      </c>
      <c r="N7">
        <f t="shared" si="4"/>
        <v>0.21272653527321256</v>
      </c>
      <c r="O7">
        <f t="shared" si="5"/>
        <v>0.7872734647267875</v>
      </c>
      <c r="P7">
        <f t="shared" si="6"/>
        <v>0.27020666236608953</v>
      </c>
      <c r="Q7">
        <f>960+1446</f>
        <v>2406</v>
      </c>
      <c r="R7" t="s">
        <v>29</v>
      </c>
      <c r="S7" s="1">
        <v>1.8017985672943099E-6</v>
      </c>
      <c r="T7" s="2">
        <f t="shared" si="7"/>
        <v>4.3351273529101091</v>
      </c>
    </row>
    <row r="8" spans="1:20" x14ac:dyDescent="0.25">
      <c r="A8">
        <v>19623</v>
      </c>
      <c r="B8" t="s">
        <v>10</v>
      </c>
      <c r="C8" t="s">
        <v>20</v>
      </c>
      <c r="D8" t="s">
        <v>21</v>
      </c>
      <c r="E8">
        <v>58291.012000000002</v>
      </c>
      <c r="F8">
        <v>50101.516000000003</v>
      </c>
      <c r="G8">
        <v>28421.188999999998</v>
      </c>
      <c r="H8">
        <f t="shared" si="8"/>
        <v>6.9123775000000008E-4</v>
      </c>
      <c r="I8">
        <f t="shared" si="0"/>
        <v>3.9130200292832422E-3</v>
      </c>
      <c r="J8">
        <f t="shared" si="1"/>
        <v>1.0359068957651396E-2</v>
      </c>
      <c r="K8">
        <f t="shared" si="2"/>
        <v>1.4272088986934639E-2</v>
      </c>
      <c r="L8">
        <v>2.1439984000000001</v>
      </c>
      <c r="M8">
        <f t="shared" si="3"/>
        <v>150.22316648689059</v>
      </c>
      <c r="N8">
        <f t="shared" si="4"/>
        <v>0.27417290018759061</v>
      </c>
      <c r="O8">
        <f t="shared" si="5"/>
        <v>0.72582709981240934</v>
      </c>
      <c r="P8">
        <f t="shared" si="6"/>
        <v>0.37773858300199986</v>
      </c>
      <c r="Q8">
        <f>2876-169</f>
        <v>2707</v>
      </c>
      <c r="R8" t="s">
        <v>27</v>
      </c>
      <c r="S8" s="1">
        <v>2.9022568471910999E-6</v>
      </c>
      <c r="T8" s="2">
        <f t="shared" si="7"/>
        <v>7.8564092853463077</v>
      </c>
    </row>
    <row r="9" spans="1:20" x14ac:dyDescent="0.25">
      <c r="A9">
        <v>19624</v>
      </c>
      <c r="B9" t="s">
        <v>10</v>
      </c>
      <c r="C9" t="s">
        <v>20</v>
      </c>
      <c r="D9" t="s">
        <v>21</v>
      </c>
      <c r="E9">
        <v>49708.093999999997</v>
      </c>
      <c r="F9">
        <v>42928.781000000003</v>
      </c>
      <c r="G9">
        <v>20242.324000000001</v>
      </c>
      <c r="H9">
        <f t="shared" si="8"/>
        <v>6.9123775000000008E-4</v>
      </c>
      <c r="I9">
        <f t="shared" si="0"/>
        <v>3.2392210160161559E-3</v>
      </c>
      <c r="J9">
        <f t="shared" si="1"/>
        <v>1.0839807557690123E-2</v>
      </c>
      <c r="K9">
        <f t="shared" si="2"/>
        <v>1.4079028573706279E-2</v>
      </c>
      <c r="L9">
        <v>1.736783</v>
      </c>
      <c r="M9">
        <f t="shared" si="3"/>
        <v>123.35957633068394</v>
      </c>
      <c r="N9">
        <f t="shared" si="4"/>
        <v>0.23007418438411739</v>
      </c>
      <c r="O9">
        <f t="shared" si="5"/>
        <v>0.76992581561588258</v>
      </c>
      <c r="P9">
        <f t="shared" si="6"/>
        <v>0.29882643199861458</v>
      </c>
      <c r="Q9">
        <f>2862-166</f>
        <v>2696</v>
      </c>
      <c r="R9" t="s">
        <v>27</v>
      </c>
      <c r="S9" s="1">
        <v>2.9022568471910999E-6</v>
      </c>
      <c r="T9" s="2">
        <f t="shared" si="7"/>
        <v>7.8244844600272048</v>
      </c>
    </row>
    <row r="10" spans="1:20" x14ac:dyDescent="0.25">
      <c r="A10">
        <v>19640</v>
      </c>
      <c r="B10" t="s">
        <v>10</v>
      </c>
      <c r="C10" t="s">
        <v>21</v>
      </c>
      <c r="D10" t="s">
        <v>21</v>
      </c>
      <c r="E10">
        <v>71627.906000000003</v>
      </c>
      <c r="F10">
        <v>61006.16</v>
      </c>
      <c r="G10">
        <v>31442.395</v>
      </c>
      <c r="H10">
        <f t="shared" si="8"/>
        <v>6.9123775000000008E-4</v>
      </c>
      <c r="I10">
        <f t="shared" si="0"/>
        <v>5.0751724946149507E-3</v>
      </c>
      <c r="J10">
        <f t="shared" si="1"/>
        <v>1.4125851528106602E-2</v>
      </c>
      <c r="K10">
        <f t="shared" si="2"/>
        <v>1.9201024022721551E-2</v>
      </c>
      <c r="L10">
        <v>2.1857110999999998</v>
      </c>
      <c r="M10">
        <f t="shared" si="3"/>
        <v>113.83304856103176</v>
      </c>
      <c r="N10">
        <f t="shared" si="4"/>
        <v>0.26431780349887801</v>
      </c>
      <c r="O10">
        <f t="shared" si="5"/>
        <v>0.7356821965011221</v>
      </c>
      <c r="P10">
        <f t="shared" si="6"/>
        <v>0.35928258799242918</v>
      </c>
      <c r="Q10">
        <f>3205-48</f>
        <v>3157</v>
      </c>
      <c r="R10" t="s">
        <v>27</v>
      </c>
      <c r="S10" s="1">
        <v>2.9022568471910999E-6</v>
      </c>
      <c r="T10" s="2">
        <f t="shared" si="7"/>
        <v>9.1624248665823025</v>
      </c>
    </row>
    <row r="11" spans="1:20" x14ac:dyDescent="0.25">
      <c r="A11">
        <v>19612</v>
      </c>
      <c r="B11" t="s">
        <v>11</v>
      </c>
      <c r="C11" t="s">
        <v>33</v>
      </c>
      <c r="D11" t="s">
        <v>20</v>
      </c>
      <c r="E11">
        <v>9350.3809999999994</v>
      </c>
      <c r="F11">
        <v>7083.9520000000002</v>
      </c>
      <c r="G11">
        <v>4179.9799999999996</v>
      </c>
      <c r="H11" s="1">
        <f>(2.25471262076618E-07)*1000*25/3</f>
        <v>1.8789271839718168E-3</v>
      </c>
      <c r="I11">
        <f t="shared" si="0"/>
        <v>8.0013269714048624E-3</v>
      </c>
      <c r="J11">
        <f t="shared" si="1"/>
        <v>1.025208797090248E-2</v>
      </c>
      <c r="K11">
        <f t="shared" si="2"/>
        <v>1.8253414942307342E-2</v>
      </c>
      <c r="L11">
        <v>1.1852844</v>
      </c>
      <c r="M11">
        <f t="shared" si="3"/>
        <v>64.934939776818155</v>
      </c>
      <c r="N11">
        <f t="shared" si="4"/>
        <v>0.43834685162717535</v>
      </c>
      <c r="O11">
        <f t="shared" si="5"/>
        <v>0.56165314837282465</v>
      </c>
      <c r="P11">
        <f t="shared" si="6"/>
        <v>0.78045828265561734</v>
      </c>
      <c r="Q11">
        <f>583+2109</f>
        <v>2692</v>
      </c>
      <c r="R11" t="s">
        <v>28</v>
      </c>
      <c r="S11" s="1">
        <v>1.43550512834468E-6</v>
      </c>
      <c r="T11" s="2">
        <f t="shared" si="7"/>
        <v>3.8643798055038787</v>
      </c>
    </row>
    <row r="12" spans="1:20" x14ac:dyDescent="0.25">
      <c r="A12">
        <v>19628</v>
      </c>
      <c r="B12" t="s">
        <v>11</v>
      </c>
      <c r="C12" t="s">
        <v>20</v>
      </c>
      <c r="D12" t="s">
        <v>21</v>
      </c>
      <c r="E12">
        <v>59683.542999999998</v>
      </c>
      <c r="F12">
        <v>51816.563000000002</v>
      </c>
      <c r="G12">
        <v>23869.203000000001</v>
      </c>
      <c r="H12">
        <f>(0.16589706/1000)*(25/6)</f>
        <v>6.9123775000000008E-4</v>
      </c>
      <c r="I12">
        <f t="shared" si="0"/>
        <v>3.7589187796136254E-3</v>
      </c>
      <c r="J12">
        <f t="shared" si="1"/>
        <v>1.3353517657935155E-2</v>
      </c>
      <c r="K12">
        <f t="shared" si="2"/>
        <v>1.711243643754878E-2</v>
      </c>
      <c r="L12">
        <v>2.1271718000000002</v>
      </c>
      <c r="M12">
        <f t="shared" si="3"/>
        <v>124.30560708073553</v>
      </c>
      <c r="N12">
        <f t="shared" si="4"/>
        <v>0.21966005795443938</v>
      </c>
      <c r="O12">
        <f t="shared" si="5"/>
        <v>0.78033994204556056</v>
      </c>
      <c r="P12">
        <f t="shared" si="6"/>
        <v>0.28149277785093102</v>
      </c>
      <c r="Q12">
        <f>980+678+829</f>
        <v>2487</v>
      </c>
      <c r="R12" t="s">
        <v>29</v>
      </c>
      <c r="S12" s="1">
        <v>1.8017985672943099E-6</v>
      </c>
      <c r="T12" s="2">
        <f t="shared" si="7"/>
        <v>4.4810730368609484</v>
      </c>
    </row>
    <row r="13" spans="1:20" x14ac:dyDescent="0.25">
      <c r="A13">
        <v>19630</v>
      </c>
      <c r="B13" t="s">
        <v>11</v>
      </c>
      <c r="C13" t="s">
        <v>21</v>
      </c>
      <c r="D13" t="s">
        <v>21</v>
      </c>
      <c r="E13">
        <v>76231.202999999994</v>
      </c>
      <c r="F13">
        <v>67876.812999999995</v>
      </c>
      <c r="G13">
        <v>31547.335999999999</v>
      </c>
      <c r="H13">
        <f>(0.16589706/1000)*(25/6)</f>
        <v>6.9123775000000008E-4</v>
      </c>
      <c r="I13">
        <f>(E13-F13)*(H13^2)</f>
        <v>3.9918079699219127E-3</v>
      </c>
      <c r="J13">
        <f>(F13-G13)*(H13^2)</f>
        <v>1.7358573855385591E-2</v>
      </c>
      <c r="K13">
        <f>(E13-G13)*(H13^2)</f>
        <v>2.1350381825307505E-2</v>
      </c>
      <c r="L13">
        <v>2.4255108999999999</v>
      </c>
      <c r="M13">
        <f>L13/K13</f>
        <v>113.6050361930736</v>
      </c>
      <c r="N13">
        <f>I13/K13</f>
        <v>0.18696658460647553</v>
      </c>
      <c r="O13">
        <f>J13/K13</f>
        <v>0.81303341539352447</v>
      </c>
      <c r="P13">
        <f>I13/J13</f>
        <v>0.22996174704083958</v>
      </c>
      <c r="Q13">
        <f>1518+1287</f>
        <v>2805</v>
      </c>
      <c r="R13" t="s">
        <v>29</v>
      </c>
      <c r="S13" s="1">
        <v>1.8017985672943099E-6</v>
      </c>
      <c r="T13" s="2">
        <f>Q13*S13*1000</f>
        <v>5.0540449812605397</v>
      </c>
    </row>
    <row r="14" spans="1:20" x14ac:dyDescent="0.25">
      <c r="A14">
        <v>19631</v>
      </c>
      <c r="B14" t="s">
        <v>11</v>
      </c>
      <c r="C14" t="s">
        <v>21</v>
      </c>
      <c r="D14" t="s">
        <v>21</v>
      </c>
      <c r="E14">
        <v>76196.718999999997</v>
      </c>
      <c r="F14">
        <v>67320.937999999995</v>
      </c>
      <c r="G14">
        <v>29616.175999999999</v>
      </c>
      <c r="H14">
        <f>(0.16589706/1000)*(25/6)</f>
        <v>6.9123775000000008E-4</v>
      </c>
      <c r="I14">
        <f>(E14-F14)*(H14^2)</f>
        <v>4.2409336091661391E-3</v>
      </c>
      <c r="J14">
        <f>(F14-G14)*(H14^2)</f>
        <v>1.8015698268288752E-2</v>
      </c>
      <c r="K14">
        <f>(E14-G14)*(H14^2)</f>
        <v>2.2256631877454892E-2</v>
      </c>
      <c r="L14">
        <v>2.6222240999999999</v>
      </c>
      <c r="M14">
        <f>L14/K14</f>
        <v>117.81765158528823</v>
      </c>
      <c r="N14">
        <f>I14/K14</f>
        <v>0.19054696292398315</v>
      </c>
      <c r="O14">
        <f>J14/K14</f>
        <v>0.80945303707601679</v>
      </c>
      <c r="P14">
        <f>I14/J14</f>
        <v>0.23540212241626149</v>
      </c>
      <c r="Q14">
        <f>1140+1122</f>
        <v>2262</v>
      </c>
      <c r="R14" t="s">
        <v>30</v>
      </c>
      <c r="S14" s="1">
        <v>2.2849421347341202E-6</v>
      </c>
      <c r="T14" s="2">
        <f>Q14*S14*1000</f>
        <v>5.1685391087685799</v>
      </c>
    </row>
    <row r="15" spans="1:20" x14ac:dyDescent="0.25">
      <c r="A15">
        <v>19606</v>
      </c>
      <c r="B15" t="s">
        <v>2</v>
      </c>
      <c r="C15" t="s">
        <v>33</v>
      </c>
      <c r="D15" t="s">
        <v>20</v>
      </c>
      <c r="E15">
        <v>8559.2309999999998</v>
      </c>
      <c r="F15">
        <v>7398.3360000000002</v>
      </c>
      <c r="G15">
        <v>3480.0740000000001</v>
      </c>
      <c r="H15" s="1">
        <f>(2.25471262076618E-07)*1000*25/3</f>
        <v>1.8789271839718168E-3</v>
      </c>
      <c r="I15">
        <f>(E15-F15)*(H15^2)</f>
        <v>4.0983858194847704E-3</v>
      </c>
      <c r="J15">
        <f>(F15-G15)*(H15^2)</f>
        <v>1.3832904283183269E-2</v>
      </c>
      <c r="K15">
        <f>(E15-G15)*(H15^2)</f>
        <v>1.7931290102668036E-2</v>
      </c>
      <c r="L15">
        <v>1.7587828999999999</v>
      </c>
      <c r="M15">
        <f>L15/K15</f>
        <v>98.084571156333411</v>
      </c>
      <c r="N15">
        <f>I15/K15</f>
        <v>0.22856056625144683</v>
      </c>
      <c r="O15">
        <f>J15/K15</f>
        <v>0.77143943374855328</v>
      </c>
      <c r="P15">
        <f>I15/J15</f>
        <v>0.29627804368365351</v>
      </c>
      <c r="Q15">
        <f>1505+1044</f>
        <v>2549</v>
      </c>
      <c r="R15" t="s">
        <v>29</v>
      </c>
      <c r="S15" s="1">
        <v>1.8017985672943099E-6</v>
      </c>
      <c r="T15" s="2">
        <f>Q15*S15*1000</f>
        <v>4.5927845480331957</v>
      </c>
    </row>
    <row r="16" spans="1:20" x14ac:dyDescent="0.25">
      <c r="A16">
        <v>19633</v>
      </c>
      <c r="B16" t="s">
        <v>2</v>
      </c>
      <c r="C16" t="s">
        <v>20</v>
      </c>
      <c r="D16" t="s">
        <v>21</v>
      </c>
      <c r="E16">
        <v>58202.805</v>
      </c>
      <c r="F16">
        <v>51132.695</v>
      </c>
      <c r="G16">
        <v>23162.798999999999</v>
      </c>
      <c r="H16">
        <f>(0.16589706/1000)*(25/6)</f>
        <v>6.9123775000000008E-4</v>
      </c>
      <c r="I16">
        <f>(E16-F16)*(H16^2)</f>
        <v>3.3781666221261658E-3</v>
      </c>
      <c r="J16">
        <f>(F16-G16)*(H16^2)</f>
        <v>1.3364285575689791E-2</v>
      </c>
      <c r="K16">
        <f>(E16-G16)*(H16^2)</f>
        <v>1.6742452197815956E-2</v>
      </c>
      <c r="L16">
        <v>1.8501333</v>
      </c>
      <c r="M16">
        <f>L16/K16</f>
        <v>110.5055148517222</v>
      </c>
      <c r="N16">
        <f>I16/K16</f>
        <v>0.20177251111201297</v>
      </c>
      <c r="O16">
        <f>J16/K16</f>
        <v>0.79822748888798711</v>
      </c>
      <c r="P16">
        <f>I16/J16</f>
        <v>0.25277569855819271</v>
      </c>
      <c r="Q16">
        <f>2717+671*COS(-55*PI()/180)</f>
        <v>3101.8697887915519</v>
      </c>
      <c r="R16" t="s">
        <v>28</v>
      </c>
      <c r="S16" s="1">
        <v>1.43550512834468E-6</v>
      </c>
      <c r="T16" s="2">
        <f>Q16*S16*1000</f>
        <v>4.4527499892677023</v>
      </c>
    </row>
    <row r="17" spans="1:20" x14ac:dyDescent="0.25">
      <c r="A17">
        <v>19634</v>
      </c>
      <c r="B17" t="s">
        <v>2</v>
      </c>
      <c r="C17" t="s">
        <v>20</v>
      </c>
      <c r="D17" t="s">
        <v>21</v>
      </c>
      <c r="E17">
        <v>79584.116999999998</v>
      </c>
      <c r="F17">
        <v>71558.733999999997</v>
      </c>
      <c r="G17">
        <v>36881.18</v>
      </c>
      <c r="H17">
        <f>(0.16589706/1000)*(25/6)</f>
        <v>6.9123775000000008E-4</v>
      </c>
      <c r="I17">
        <f>(E17-F17)*(H17^2)</f>
        <v>3.8346052579632788E-3</v>
      </c>
      <c r="J17">
        <f>(F17-G17)*(H17^2)</f>
        <v>1.6569269142881468E-2</v>
      </c>
      <c r="K17">
        <f>(E17-G17)*(H17^2)</f>
        <v>2.0403874400844745E-2</v>
      </c>
      <c r="L17">
        <v>2.0222728000000001</v>
      </c>
      <c r="M17">
        <f>L17/K17</f>
        <v>99.112196059993167</v>
      </c>
      <c r="N17">
        <f>I17/K17</f>
        <v>0.18793515303174585</v>
      </c>
      <c r="O17">
        <f>J17/K17</f>
        <v>0.81206484696825421</v>
      </c>
      <c r="P17">
        <f>I17/J17</f>
        <v>0.23142875071292518</v>
      </c>
      <c r="Q17">
        <f>3012</f>
        <v>3012</v>
      </c>
      <c r="R17" t="s">
        <v>29</v>
      </c>
      <c r="S17" s="1">
        <v>1.8017985672943099E-6</v>
      </c>
      <c r="T17" s="2">
        <f>Q17*S17*1000</f>
        <v>5.4270172846904616</v>
      </c>
    </row>
    <row r="18" spans="1:20" x14ac:dyDescent="0.25">
      <c r="A18">
        <v>19636</v>
      </c>
      <c r="B18" t="s">
        <v>2</v>
      </c>
      <c r="C18" t="s">
        <v>21</v>
      </c>
      <c r="D18" t="s">
        <v>21</v>
      </c>
      <c r="E18">
        <v>58409.156000000003</v>
      </c>
      <c r="F18">
        <v>51383.851999999999</v>
      </c>
      <c r="G18">
        <v>27974.048999999999</v>
      </c>
      <c r="H18">
        <f>(0.16589706/1000)*(25/6)</f>
        <v>6.9123775000000008E-4</v>
      </c>
      <c r="I18">
        <f>(E18-F18)*(H18^2)</f>
        <v>3.3567578839776824E-3</v>
      </c>
      <c r="J18">
        <f>(F18-G18)*(H18^2)</f>
        <v>1.1185429240160192E-2</v>
      </c>
      <c r="K18">
        <f>(E18-G18)*(H18^2)</f>
        <v>1.4542187124137875E-2</v>
      </c>
      <c r="L18">
        <v>2.3878853000000002</v>
      </c>
      <c r="M18">
        <f>L18/K18</f>
        <v>164.20400037601391</v>
      </c>
      <c r="N18">
        <f>I18/K18</f>
        <v>0.23082895683593302</v>
      </c>
      <c r="O18">
        <f>J18/K18</f>
        <v>0.76917104316406693</v>
      </c>
      <c r="P18">
        <f>I18/J18</f>
        <v>0.30010094489048045</v>
      </c>
      <c r="Q18">
        <f>2406+162</f>
        <v>2568</v>
      </c>
      <c r="R18" t="s">
        <v>28</v>
      </c>
      <c r="S18" s="1">
        <v>1.43550512834468E-6</v>
      </c>
      <c r="T18" s="2">
        <f>Q18*S18*1000</f>
        <v>3.6863771695891381</v>
      </c>
    </row>
    <row r="19" spans="1:20" x14ac:dyDescent="0.25">
      <c r="A19">
        <v>19639</v>
      </c>
      <c r="B19" t="s">
        <v>2</v>
      </c>
      <c r="C19" t="s">
        <v>21</v>
      </c>
      <c r="D19" t="s">
        <v>21</v>
      </c>
      <c r="E19">
        <v>83914.32</v>
      </c>
      <c r="F19">
        <v>72519.202999999994</v>
      </c>
      <c r="G19">
        <v>49010.343999999997</v>
      </c>
      <c r="H19">
        <f>(0.16589706/1000)*(25/6)</f>
        <v>6.9123775000000008E-4</v>
      </c>
      <c r="I19">
        <f>(E19-F19)*(H19^2)</f>
        <v>5.4446966036769571E-3</v>
      </c>
      <c r="J19">
        <f>(F19-G19)*(H19^2)</f>
        <v>1.1232759150574785E-2</v>
      </c>
      <c r="K19">
        <f>(E19-G19)*(H19^2)</f>
        <v>1.6677455754251742E-2</v>
      </c>
      <c r="L19">
        <v>1.4324250999999999</v>
      </c>
      <c r="M19">
        <f>L19/K19</f>
        <v>85.889905577163248</v>
      </c>
      <c r="N19">
        <f>I19/K19</f>
        <v>0.32647045711926947</v>
      </c>
      <c r="O19">
        <f>J19/K19</f>
        <v>0.67352954288073064</v>
      </c>
      <c r="P19">
        <f>I19/J19</f>
        <v>0.4847158681754829</v>
      </c>
      <c r="Q19">
        <f>2883-54</f>
        <v>2829</v>
      </c>
      <c r="R19" t="s">
        <v>28</v>
      </c>
      <c r="S19" s="1">
        <v>1.43550512834468E-6</v>
      </c>
      <c r="T19" s="2">
        <f>Q19*S19*1000</f>
        <v>4.0610440080870998</v>
      </c>
    </row>
    <row r="20" spans="1:20" x14ac:dyDescent="0.25">
      <c r="A20">
        <v>19603</v>
      </c>
      <c r="B20" t="s">
        <v>32</v>
      </c>
      <c r="C20" t="s">
        <v>33</v>
      </c>
      <c r="D20" t="s">
        <v>20</v>
      </c>
      <c r="E20">
        <v>10661.337</v>
      </c>
      <c r="F20">
        <v>7702.8429999999998</v>
      </c>
      <c r="G20">
        <v>3725.7310000000002</v>
      </c>
      <c r="H20" s="1">
        <f>(2.25471262076618E-07)*1000*25/3</f>
        <v>1.8789271839718168E-3</v>
      </c>
      <c r="I20">
        <f>(E20-F20)*(H20^2)</f>
        <v>1.0444570660249876E-2</v>
      </c>
      <c r="J20">
        <f>(F20-G20)*(H20^2)</f>
        <v>1.4040666402476294E-2</v>
      </c>
      <c r="K20">
        <f>(E20-G20)*(H20^2)</f>
        <v>2.4485237062726171E-2</v>
      </c>
      <c r="L20">
        <v>2.1997905000000002</v>
      </c>
      <c r="M20">
        <f>L20/K20</f>
        <v>89.841503039753576</v>
      </c>
      <c r="N20">
        <f>I20/K20</f>
        <v>0.42656604195797743</v>
      </c>
      <c r="O20">
        <f>J20/K20</f>
        <v>0.57343395804202246</v>
      </c>
      <c r="P20">
        <f>I20/J20</f>
        <v>0.74387998125272814</v>
      </c>
      <c r="Q20">
        <f>552+2424</f>
        <v>2976</v>
      </c>
      <c r="R20" t="s">
        <v>29</v>
      </c>
      <c r="S20" s="1">
        <v>1.8017985672943099E-6</v>
      </c>
      <c r="T20" s="2">
        <f>Q20*S20*1000</f>
        <v>5.3621525362678666</v>
      </c>
    </row>
  </sheetData>
  <sortState ref="A2:T21">
    <sortCondition ref="B2:B21"/>
    <sortCondition ref="A2:A21"/>
    <sortCondition ref="D2:D21"/>
    <sortCondition ref="C2:C21"/>
  </sortState>
  <pageMargins left="0.7" right="0.7" top="0.75" bottom="0.75" header="0.3" footer="0.3"/>
  <pageSetup orientation="portrait" horizontalDpi="4294967293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2017-07-06T03:12:15Z</dcterms:created>
  <dcterms:modified xsi:type="dcterms:W3CDTF">2017-08-02T01:39:20Z</dcterms:modified>
</cp:coreProperties>
</file>