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h\OneDrive\Documents\Project\LeShop SameDay\"/>
    </mc:Choice>
  </mc:AlternateContent>
  <xr:revisionPtr revIDLastSave="0" documentId="13_ncr:1_{0E71CA35-1048-4912-B0E0-29F830317C2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Operations" sheetId="63" r:id="rId1"/>
    <sheet name="Slots" sheetId="30" r:id="rId2"/>
    <sheet name="Fact-Sheet" sheetId="24" r:id="rId3"/>
    <sheet name="Market Regions" sheetId="33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" i="63" l="1"/>
  <c r="D19" i="63"/>
  <c r="E31" i="33"/>
  <c r="D31" i="33"/>
  <c r="D30" i="33"/>
  <c r="E30" i="33"/>
  <c r="M20" i="33"/>
  <c r="J21" i="33"/>
  <c r="K18" i="33"/>
  <c r="L18" i="33" s="1"/>
  <c r="M18" i="33" s="1"/>
  <c r="K19" i="33"/>
  <c r="L19" i="33" s="1"/>
  <c r="E12" i="63" s="1"/>
  <c r="E11" i="63" s="1"/>
  <c r="K20" i="33"/>
  <c r="L20" i="33" s="1"/>
  <c r="K17" i="33"/>
  <c r="L17" i="33" s="1"/>
  <c r="M17" i="33" s="1"/>
  <c r="M19" i="33" l="1"/>
  <c r="E9" i="63" s="1"/>
  <c r="L21" i="33"/>
  <c r="K21" i="33"/>
  <c r="F11" i="63"/>
  <c r="F12" i="63"/>
  <c r="F10" i="63"/>
  <c r="M21" i="33"/>
  <c r="D4" i="33"/>
  <c r="E4" i="33"/>
  <c r="I8" i="63"/>
  <c r="F9" i="63" l="1"/>
  <c r="H17" i="30"/>
  <c r="H19" i="30"/>
  <c r="H20" i="30"/>
  <c r="H21" i="30"/>
  <c r="H22" i="30"/>
  <c r="F20" i="30"/>
  <c r="F21" i="30"/>
  <c r="F22" i="30"/>
  <c r="D23" i="30"/>
  <c r="G16" i="30" s="1"/>
  <c r="E23" i="30"/>
  <c r="H18" i="30" s="1"/>
  <c r="C23" i="30"/>
  <c r="F23" i="30" s="1"/>
  <c r="H16" i="30" l="1"/>
  <c r="H23" i="30"/>
  <c r="F18" i="30"/>
  <c r="F17" i="30"/>
  <c r="F16" i="30"/>
  <c r="F19" i="30"/>
  <c r="G23" i="30"/>
  <c r="G21" i="30"/>
  <c r="G17" i="30"/>
  <c r="G19" i="30"/>
  <c r="G22" i="30"/>
  <c r="G20" i="30"/>
  <c r="G18" i="30"/>
  <c r="F24" i="33" l="1"/>
  <c r="G24" i="33" s="1"/>
  <c r="F23" i="33"/>
  <c r="G23" i="33" s="1"/>
  <c r="F18" i="33"/>
  <c r="G18" i="33" s="1"/>
  <c r="F17" i="33"/>
  <c r="G17" i="33" s="1"/>
  <c r="F16" i="33"/>
  <c r="G16" i="33" s="1"/>
  <c r="F15" i="33"/>
  <c r="G15" i="33" s="1"/>
  <c r="F14" i="33"/>
  <c r="G14" i="33" s="1"/>
  <c r="F13" i="33"/>
  <c r="G13" i="33" s="1"/>
  <c r="F12" i="33"/>
  <c r="G12" i="33" s="1"/>
  <c r="F11" i="33"/>
  <c r="G11" i="33" s="1"/>
  <c r="F22" i="33"/>
  <c r="G22" i="33" s="1"/>
  <c r="F10" i="33"/>
  <c r="G10" i="33" s="1"/>
  <c r="F26" i="33"/>
  <c r="G26" i="33" s="1"/>
  <c r="F9" i="33"/>
  <c r="G9" i="33" s="1"/>
  <c r="F21" i="33"/>
  <c r="G21" i="33" s="1"/>
  <c r="F8" i="33"/>
  <c r="G8" i="33" s="1"/>
  <c r="F7" i="33"/>
  <c r="G7" i="33" s="1"/>
  <c r="F20" i="33"/>
  <c r="G20" i="33" s="1"/>
  <c r="F19" i="33"/>
  <c r="F25" i="33"/>
  <c r="F6" i="33"/>
  <c r="G6" i="33" s="1"/>
  <c r="F5" i="33"/>
  <c r="F4" i="33" l="1"/>
  <c r="N4" i="33" s="1"/>
  <c r="F31" i="33"/>
  <c r="F30" i="33"/>
  <c r="G25" i="33"/>
  <c r="G5" i="33"/>
  <c r="G31" i="33" s="1"/>
  <c r="G19" i="33"/>
  <c r="G30" i="33" l="1"/>
  <c r="G4" i="33"/>
  <c r="C5" i="63"/>
  <c r="C9" i="63" s="1"/>
  <c r="D4" i="63"/>
  <c r="C4" i="63"/>
  <c r="D5" i="63"/>
  <c r="E5" i="63" l="1"/>
  <c r="E4" i="63"/>
  <c r="D12" i="63"/>
  <c r="C12" i="63"/>
  <c r="C11" i="63" s="1"/>
  <c r="D11" i="63" l="1"/>
  <c r="C10" i="63"/>
  <c r="E10" i="63" s="1"/>
  <c r="D10" i="63" l="1"/>
  <c r="J3" i="24"/>
  <c r="I3" i="24" s="1"/>
  <c r="H3" i="24" s="1"/>
  <c r="J4" i="24"/>
  <c r="I4" i="24" s="1"/>
  <c r="P4" i="24"/>
  <c r="Q4" i="24"/>
  <c r="P5" i="24"/>
  <c r="Q5" i="24"/>
  <c r="N12" i="24"/>
  <c r="P12" i="24"/>
  <c r="P13" i="24" s="1"/>
  <c r="P14" i="24" s="1"/>
  <c r="P15" i="24" s="1"/>
  <c r="P16" i="24" s="1"/>
  <c r="P17" i="24" s="1"/>
  <c r="Q8" i="24"/>
  <c r="P11" i="24"/>
  <c r="P6" i="24"/>
  <c r="P7" i="24"/>
  <c r="P8" i="24"/>
  <c r="P9" i="24"/>
  <c r="P10" i="24"/>
  <c r="J5" i="24"/>
  <c r="I5" i="24" s="1"/>
  <c r="H5" i="24" s="1"/>
  <c r="J6" i="24"/>
  <c r="I6" i="24" s="1"/>
  <c r="H6" i="24" s="1"/>
  <c r="J7" i="24"/>
  <c r="I7" i="24" s="1"/>
  <c r="H7" i="24" s="1"/>
  <c r="J8" i="24"/>
  <c r="I8" i="24" s="1"/>
  <c r="H8" i="24" s="1"/>
  <c r="J9" i="24"/>
  <c r="I9" i="24" s="1"/>
  <c r="H9" i="24" s="1"/>
  <c r="C11" i="24" s="1"/>
  <c r="C13" i="24" s="1"/>
  <c r="J10" i="24"/>
  <c r="I10" i="24" s="1"/>
  <c r="H10" i="24" s="1"/>
  <c r="J11" i="24"/>
  <c r="I11" i="24" s="1"/>
  <c r="C4" i="24"/>
  <c r="D4" i="24"/>
  <c r="D9" i="63" l="1"/>
  <c r="P3" i="24"/>
  <c r="K3" i="24"/>
  <c r="L3" i="24" s="1"/>
  <c r="O4" i="24"/>
  <c r="K4" i="24"/>
  <c r="L4" i="24" s="1"/>
  <c r="O5" i="24"/>
  <c r="H4" i="24"/>
  <c r="O11" i="24"/>
  <c r="J12" i="24"/>
  <c r="I12" i="24" s="1"/>
  <c r="K5" i="24"/>
  <c r="L5" i="24" s="1"/>
  <c r="O10" i="24"/>
  <c r="H11" i="24"/>
  <c r="D11" i="24" s="1"/>
  <c r="D13" i="24" s="1"/>
  <c r="D7" i="24"/>
  <c r="O9" i="24"/>
  <c r="K11" i="24"/>
  <c r="O6" i="24"/>
  <c r="O8" i="24"/>
  <c r="K8" i="24"/>
  <c r="L8" i="24" s="1"/>
  <c r="O7" i="24"/>
  <c r="K7" i="24"/>
  <c r="L7" i="24" s="1"/>
  <c r="C7" i="24"/>
  <c r="K6" i="24"/>
  <c r="L6" i="24" s="1"/>
  <c r="K10" i="24"/>
  <c r="L10" i="24" s="1"/>
  <c r="K9" i="24"/>
  <c r="O3" i="24" l="1"/>
  <c r="H12" i="24"/>
  <c r="K12" i="24"/>
  <c r="L12" i="24" s="1"/>
  <c r="O12" i="24"/>
  <c r="C9" i="24"/>
  <c r="C16" i="24" s="1"/>
  <c r="L9" i="24"/>
  <c r="L11" i="24"/>
  <c r="D9" i="24"/>
  <c r="D16" i="24" s="1"/>
  <c r="C20" i="24" l="1"/>
  <c r="C10" i="24"/>
  <c r="D10" i="24"/>
  <c r="C5" i="24"/>
  <c r="C6" i="24" s="1"/>
  <c r="D5" i="24"/>
  <c r="D6" i="24" s="1"/>
  <c r="J10" i="63" l="1"/>
  <c r="D17" i="63" s="1"/>
  <c r="F17" i="63" s="1"/>
  <c r="J9" i="63"/>
  <c r="C18" i="63" s="1"/>
  <c r="D18" i="63" s="1"/>
  <c r="J8" i="63"/>
  <c r="C12" i="24"/>
  <c r="C14" i="24" s="1"/>
  <c r="D12" i="24"/>
  <c r="D14" i="24" s="1"/>
  <c r="Q7" i="24"/>
  <c r="E18" i="63" l="1"/>
  <c r="D15" i="63"/>
  <c r="D14" i="63"/>
  <c r="D13" i="63"/>
  <c r="C15" i="63"/>
  <c r="C14" i="63"/>
  <c r="Q10" i="24"/>
  <c r="Q11" i="24"/>
  <c r="Q9" i="24"/>
  <c r="D16" i="63" l="1"/>
  <c r="F18" i="63"/>
  <c r="E14" i="63"/>
  <c r="E15" i="63"/>
  <c r="C16" i="63"/>
  <c r="R11" i="24"/>
  <c r="R10" i="24"/>
  <c r="R9" i="24"/>
  <c r="R8" i="24"/>
  <c r="E16" i="63" l="1"/>
  <c r="F15" i="63"/>
  <c r="F14" i="63"/>
  <c r="F13" i="63"/>
  <c r="F16" i="63" l="1"/>
  <c r="Q6" i="24" l="1"/>
  <c r="Q3" i="24" l="1"/>
  <c r="R4" i="24" s="1"/>
  <c r="R7" i="24"/>
  <c r="R6" i="24"/>
  <c r="R5" i="24"/>
</calcChain>
</file>

<file path=xl/sharedStrings.xml><?xml version="1.0" encoding="utf-8"?>
<sst xmlns="http://schemas.openxmlformats.org/spreadsheetml/2006/main" count="147" uniqueCount="113">
  <si>
    <t>Ecublens</t>
  </si>
  <si>
    <t>Year</t>
  </si>
  <si>
    <t>https://www.slideshare.net/DimitrisTzanos/prjauebmscleshop15jul2015</t>
  </si>
  <si>
    <t>Deliv./d</t>
  </si>
  <si>
    <t>Customers</t>
  </si>
  <si>
    <t>Daillens Centre/ LeShop</t>
  </si>
  <si>
    <t>Av.Ord./cust.-a</t>
  </si>
  <si>
    <t>Distri.centers</t>
  </si>
  <si>
    <t>Av. Customers</t>
  </si>
  <si>
    <t>Av.basket/cust. [CHF]</t>
  </si>
  <si>
    <t>Turnover/a [MCHF]</t>
  </si>
  <si>
    <t>LeShop</t>
  </si>
  <si>
    <t>Cust.Growth/a [%]</t>
  </si>
  <si>
    <t>Basket Growth/a [%]</t>
  </si>
  <si>
    <t>Total Growth/a [%]</t>
  </si>
  <si>
    <t>Tot. Cust.</t>
  </si>
  <si>
    <t>Tot.Del./a</t>
  </si>
  <si>
    <t>Tot. Del./a</t>
  </si>
  <si>
    <t>Cust.Daillens/a</t>
  </si>
  <si>
    <t>Tot.DaillensDel./a</t>
  </si>
  <si>
    <t>Tot.Ord./cust.-a</t>
  </si>
  <si>
    <t>Daillens Simulation</t>
  </si>
  <si>
    <t>https://info.leshop.ch/de/unternehmen/faktenblatt/</t>
  </si>
  <si>
    <t>ZH</t>
  </si>
  <si>
    <t>GE</t>
  </si>
  <si>
    <t>BE</t>
  </si>
  <si>
    <t>LU</t>
  </si>
  <si>
    <t>AG</t>
  </si>
  <si>
    <t>SO</t>
  </si>
  <si>
    <t>JU</t>
  </si>
  <si>
    <t>VS</t>
  </si>
  <si>
    <t>URI</t>
  </si>
  <si>
    <t>Schwyz</t>
  </si>
  <si>
    <t>GR</t>
  </si>
  <si>
    <t>TG</t>
  </si>
  <si>
    <t>SH</t>
  </si>
  <si>
    <t>ZG</t>
  </si>
  <si>
    <t>VD</t>
  </si>
  <si>
    <t>TI</t>
  </si>
  <si>
    <t>GL</t>
  </si>
  <si>
    <t>OW/NW</t>
  </si>
  <si>
    <t>SG&amp;AP</t>
  </si>
  <si>
    <t>FR</t>
  </si>
  <si>
    <t>NE</t>
  </si>
  <si>
    <t>Tot</t>
  </si>
  <si>
    <t>BS&amp;BL</t>
  </si>
  <si>
    <t>Clients</t>
  </si>
  <si>
    <t>Deliv./d-Customer</t>
  </si>
  <si>
    <t>Rural</t>
  </si>
  <si>
    <t>Av. Daily Orders</t>
  </si>
  <si>
    <t>Canton</t>
  </si>
  <si>
    <t>Av. Client Order/a</t>
  </si>
  <si>
    <t>Yverdon</t>
  </si>
  <si>
    <t>Bremgarten</t>
  </si>
  <si>
    <t>Tot. Picking time [h]/d</t>
  </si>
  <si>
    <t>Center Allocation</t>
  </si>
  <si>
    <t>Orders/Slot</t>
  </si>
  <si>
    <t>Mo</t>
  </si>
  <si>
    <t>Moy</t>
  </si>
  <si>
    <t>S1</t>
  </si>
  <si>
    <t>S2</t>
  </si>
  <si>
    <t>S3</t>
  </si>
  <si>
    <t>S4</t>
  </si>
  <si>
    <t>Tue-Fri</t>
  </si>
  <si>
    <t>S5</t>
  </si>
  <si>
    <t>S6</t>
  </si>
  <si>
    <t>S7</t>
  </si>
  <si>
    <t>Sa</t>
  </si>
  <si>
    <t>Total Expct Growth/a [%]</t>
  </si>
  <si>
    <t>Cities</t>
  </si>
  <si>
    <t>MA Total Growth/a [%]</t>
  </si>
  <si>
    <t>https://progressivegrocer.com/macro-effects-micro-fulfillment-grocery</t>
  </si>
  <si>
    <t>https://www.dematic.com/en-us/solutions/solutions-by-system/microfulfillment/</t>
  </si>
  <si>
    <t>Micro Fulfillment</t>
  </si>
  <si>
    <t>https://www.mckinsey.com/industries/retail/our-insights/reviving-grocery-retail-six-imperatives</t>
  </si>
  <si>
    <t>Operations</t>
  </si>
  <si>
    <t>Same-Day (Exc.)</t>
  </si>
  <si>
    <t>Next-Day   (As-Is)</t>
  </si>
  <si>
    <t>Av. Orders/d</t>
  </si>
  <si>
    <t>Av. Orders/a</t>
  </si>
  <si>
    <t>Pick&amp;Pack Time</t>
  </si>
  <si>
    <t>Deliv./Slot</t>
  </si>
  <si>
    <t>Customer/distri</t>
  </si>
  <si>
    <t>Slots/d</t>
  </si>
  <si>
    <t>Days/a</t>
  </si>
  <si>
    <t>Av.Value/basket</t>
  </si>
  <si>
    <t>Av.basket Value/cust. [CHF]</t>
  </si>
  <si>
    <t>Regular Hand Pick&amp;Pack</t>
  </si>
  <si>
    <t>Full Autom. Pick&amp;Pack</t>
  </si>
  <si>
    <t>Item/[Min.]</t>
  </si>
  <si>
    <t>Av. Auto Pick&amp;Pack time [Min.]/Order</t>
  </si>
  <si>
    <t>Av. Man. Pick&amp;Pack time [Min.]/Order</t>
  </si>
  <si>
    <t>Current Ecublens Av. Pick&amp;Pack</t>
  </si>
  <si>
    <t>Fresh-Center</t>
  </si>
  <si>
    <t>Nyon</t>
  </si>
  <si>
    <t>Montreux/ Vevey</t>
  </si>
  <si>
    <t>Lausanne Agglo</t>
  </si>
  <si>
    <t>Orders</t>
  </si>
  <si>
    <t>Pop. [k]</t>
  </si>
  <si>
    <t>Tot.</t>
  </si>
  <si>
    <t>Cities Ct. VD</t>
  </si>
  <si>
    <t>Total Ecublens-Center</t>
  </si>
  <si>
    <t>Ecublens-Center/ Lausanne Agglo</t>
  </si>
  <si>
    <t>Same-Day-Orders/d</t>
  </si>
  <si>
    <t>Morning-Orders/d</t>
  </si>
  <si>
    <t>Afternoon-Orders/d</t>
  </si>
  <si>
    <t>Tot. Picking time/Same-Day [h]/d</t>
  </si>
  <si>
    <t>Tot. Picking time/Nex-Day-Afternoon [h]/d</t>
  </si>
  <si>
    <t>Tot. Picking time/Nex-Day-Morning [h]/d</t>
  </si>
  <si>
    <t>Parallel Order Picking Capacity (Pers.&amp;Equip.)</t>
  </si>
  <si>
    <t>Tot. Clients/a</t>
  </si>
  <si>
    <t>Tot. Time [Min.]/Basket</t>
  </si>
  <si>
    <t>Same-Day expected growth potential 25% x cities: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</si>
</sst>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-* #,##0\ [$CHF-100C]_-;\-* #,##0\ [$CHF-100C]_-;_-* &quot;-&quot;??\ [$CHF-100C]_-;_-@_-"/>
    <numFmt numFmtId="166" formatCode="_ * #,##0_ ;_ * \-#,##0_ ;_ * &quot;-&quot;??_ ;_ @_ "/>
    <numFmt numFmtId="167" formatCode="#,##0_ ;\-#,##0\ "/>
    <numFmt numFmtId="169" formatCode="_ * #,##0.0_ ;_ * \-#,##0.0_ ;_ * &quot;-&quot;??_ ;_ @_ 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6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72380748924222"/>
      </left>
      <right style="thin">
        <color theme="0" tint="-0.14972380748924222"/>
      </right>
      <top style="thin">
        <color theme="0" tint="-0.14972380748924222"/>
      </top>
      <bottom style="thin">
        <color theme="0" tint="-0.149723807489242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8764000366222"/>
      </left>
      <right/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/>
      <top/>
      <bottom style="thin">
        <color theme="0" tint="-0.149906918546098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1"/>
      </left>
      <right style="thin">
        <color theme="0" tint="-0.1498764000366222"/>
      </right>
      <top style="medium">
        <color theme="1"/>
      </top>
      <bottom style="thin">
        <color theme="0" tint="-0.1498764000366222"/>
      </bottom>
      <diagonal/>
    </border>
    <border>
      <left style="thin">
        <color theme="0" tint="-0.1498764000366222"/>
      </left>
      <right style="medium">
        <color theme="1"/>
      </right>
      <top style="medium">
        <color theme="1"/>
      </top>
      <bottom style="thin">
        <color theme="0" tint="-0.1498764000366222"/>
      </bottom>
      <diagonal/>
    </border>
    <border>
      <left style="medium">
        <color theme="1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medium">
        <color theme="1"/>
      </right>
      <top/>
      <bottom style="thin">
        <color theme="0" tint="-0.14990691854609822"/>
      </bottom>
      <diagonal/>
    </border>
    <border>
      <left style="medium">
        <color theme="1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medium">
        <color theme="1"/>
      </right>
      <top style="thin">
        <color theme="0" tint="-0.14990691854609822"/>
      </top>
      <bottom style="thin">
        <color theme="0" tint="-0.14990691854609822"/>
      </bottom>
      <diagonal/>
    </border>
    <border>
      <left style="medium">
        <color theme="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medium">
        <color theme="1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theme="1"/>
      </left>
      <right style="thin">
        <color theme="0" tint="-0.14993743705557422"/>
      </right>
      <top style="thin">
        <color theme="0" tint="-0.14993743705557422"/>
      </top>
      <bottom style="medium">
        <color theme="1"/>
      </bottom>
      <diagonal/>
    </border>
    <border>
      <left style="thin">
        <color theme="0" tint="-0.14993743705557422"/>
      </left>
      <right style="medium">
        <color theme="1"/>
      </right>
      <top style="thin">
        <color theme="0" tint="-0.14993743705557422"/>
      </top>
      <bottom style="medium">
        <color theme="1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  <xf numFmtId="43" fontId="22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4" fillId="0" borderId="0" applyNumberFormat="0" applyBorder="0" applyAlignment="0"/>
    <xf numFmtId="0" fontId="26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/>
    <xf numFmtId="0" fontId="0" fillId="0" borderId="0" xfId="0" applyAlignment="1">
      <alignment horizontal="center" vertical="center"/>
    </xf>
    <xf numFmtId="166" fontId="16" fillId="34" borderId="12" xfId="0" applyNumberFormat="1" applyFont="1" applyFill="1" applyBorder="1" applyAlignment="1">
      <alignment horizontal="center"/>
    </xf>
    <xf numFmtId="0" fontId="16" fillId="34" borderId="12" xfId="0" applyFont="1" applyFill="1" applyBorder="1" applyAlignment="1">
      <alignment horizontal="right"/>
    </xf>
    <xf numFmtId="166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12" xfId="0" applyBorder="1" applyAlignment="1">
      <alignment horizontal="left" vertical="top"/>
    </xf>
    <xf numFmtId="166" fontId="0" fillId="0" borderId="12" xfId="0" applyNumberFormat="1" applyBorder="1" applyAlignment="1">
      <alignment horizontal="center" vertical="top"/>
    </xf>
    <xf numFmtId="166" fontId="0" fillId="0" borderId="12" xfId="1" applyNumberFormat="1" applyFont="1" applyBorder="1" applyAlignment="1">
      <alignment horizontal="center" vertical="top"/>
    </xf>
    <xf numFmtId="165" fontId="0" fillId="0" borderId="12" xfId="0" applyNumberFormat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3" xfId="0" applyBorder="1"/>
    <xf numFmtId="0" fontId="0" fillId="0" borderId="11" xfId="0" applyBorder="1"/>
    <xf numFmtId="0" fontId="0" fillId="34" borderId="1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166" fontId="0" fillId="0" borderId="14" xfId="1" applyNumberFormat="1" applyFont="1" applyBorder="1" applyAlignment="1">
      <alignment horizontal="center"/>
    </xf>
    <xf numFmtId="0" fontId="0" fillId="34" borderId="14" xfId="0" applyFill="1" applyBorder="1"/>
    <xf numFmtId="0" fontId="0" fillId="34" borderId="14" xfId="0" applyFill="1" applyBorder="1" applyAlignment="1">
      <alignment horizontal="center"/>
    </xf>
    <xf numFmtId="0" fontId="0" fillId="0" borderId="14" xfId="0" applyBorder="1"/>
    <xf numFmtId="0" fontId="23" fillId="34" borderId="10" xfId="0" applyFont="1" applyFill="1" applyBorder="1" applyAlignment="1">
      <alignment horizontal="center"/>
    </xf>
    <xf numFmtId="166" fontId="23" fillId="34" borderId="1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/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0" xfId="0" applyFill="1" applyBorder="1"/>
    <xf numFmtId="0" fontId="0" fillId="34" borderId="21" xfId="0" applyFill="1" applyBorder="1"/>
    <xf numFmtId="0" fontId="0" fillId="34" borderId="22" xfId="0" applyFill="1" applyBorder="1" applyAlignment="1">
      <alignment horizontal="center"/>
    </xf>
    <xf numFmtId="0" fontId="0" fillId="34" borderId="23" xfId="0" applyFill="1" applyBorder="1" applyAlignment="1">
      <alignment horizontal="center"/>
    </xf>
    <xf numFmtId="0" fontId="0" fillId="34" borderId="23" xfId="0" applyFill="1" applyBorder="1"/>
    <xf numFmtId="0" fontId="0" fillId="34" borderId="24" xfId="0" applyFill="1" applyBorder="1"/>
    <xf numFmtId="9" fontId="0" fillId="0" borderId="14" xfId="2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9" fontId="18" fillId="0" borderId="14" xfId="2" applyFont="1" applyBorder="1" applyAlignment="1">
      <alignment horizontal="center"/>
    </xf>
    <xf numFmtId="0" fontId="18" fillId="34" borderId="14" xfId="0" applyFont="1" applyFill="1" applyBorder="1"/>
    <xf numFmtId="0" fontId="23" fillId="0" borderId="14" xfId="0" applyFont="1" applyBorder="1"/>
    <xf numFmtId="0" fontId="23" fillId="0" borderId="14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33" borderId="25" xfId="0" applyFill="1" applyBorder="1" applyAlignment="1">
      <alignment horizontal="center" textRotation="90"/>
    </xf>
    <xf numFmtId="0" fontId="0" fillId="0" borderId="25" xfId="0" applyBorder="1" applyAlignment="1">
      <alignment horizontal="center" textRotation="90" wrapText="1"/>
    </xf>
    <xf numFmtId="0" fontId="0" fillId="33" borderId="25" xfId="0" applyFill="1" applyBorder="1" applyAlignment="1">
      <alignment horizontal="center" textRotation="90" wrapText="1"/>
    </xf>
    <xf numFmtId="0" fontId="0" fillId="0" borderId="25" xfId="0" applyBorder="1" applyAlignment="1">
      <alignment horizontal="center" vertical="center"/>
    </xf>
    <xf numFmtId="169" fontId="18" fillId="0" borderId="25" xfId="1" applyNumberFormat="1" applyFont="1" applyBorder="1" applyAlignment="1">
      <alignment horizontal="center" vertical="center"/>
    </xf>
    <xf numFmtId="166" fontId="18" fillId="0" borderId="25" xfId="1" applyNumberFormat="1" applyFont="1" applyBorder="1" applyAlignment="1">
      <alignment horizontal="center" vertical="center"/>
    </xf>
    <xf numFmtId="167" fontId="18" fillId="0" borderId="25" xfId="0" applyNumberFormat="1" applyFont="1" applyBorder="1" applyAlignment="1">
      <alignment horizontal="center" vertical="center"/>
    </xf>
    <xf numFmtId="165" fontId="18" fillId="0" borderId="25" xfId="0" applyNumberFormat="1" applyFont="1" applyBorder="1" applyAlignment="1">
      <alignment horizontal="center"/>
    </xf>
    <xf numFmtId="164" fontId="18" fillId="0" borderId="25" xfId="2" applyNumberFormat="1" applyFont="1" applyBorder="1" applyAlignment="1">
      <alignment horizontal="center" vertical="center"/>
    </xf>
    <xf numFmtId="165" fontId="18" fillId="0" borderId="25" xfId="1" applyNumberFormat="1" applyFont="1" applyBorder="1" applyAlignment="1">
      <alignment horizontal="center" vertical="center"/>
    </xf>
    <xf numFmtId="165" fontId="18" fillId="0" borderId="25" xfId="0" applyNumberFormat="1" applyFont="1" applyBorder="1" applyAlignment="1">
      <alignment horizontal="center" vertical="center"/>
    </xf>
    <xf numFmtId="165" fontId="18" fillId="34" borderId="25" xfId="1" applyNumberFormat="1" applyFont="1" applyFill="1" applyBorder="1" applyAlignment="1">
      <alignment horizontal="center" vertical="center"/>
    </xf>
    <xf numFmtId="9" fontId="18" fillId="0" borderId="25" xfId="2" applyFont="1" applyBorder="1" applyAlignment="1">
      <alignment horizontal="center" vertical="center"/>
    </xf>
    <xf numFmtId="0" fontId="20" fillId="34" borderId="0" xfId="44" applyFont="1" applyFill="1"/>
    <xf numFmtId="0" fontId="20" fillId="34" borderId="0" xfId="44" applyFont="1" applyFill="1" applyAlignment="1">
      <alignment vertical="center"/>
    </xf>
    <xf numFmtId="0" fontId="0" fillId="0" borderId="15" xfId="0" applyBorder="1"/>
    <xf numFmtId="9" fontId="0" fillId="34" borderId="0" xfId="2" applyFont="1" applyFill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27" fillId="33" borderId="10" xfId="0" applyFont="1" applyFill="1" applyBorder="1" applyAlignment="1">
      <alignment horizontal="center"/>
    </xf>
    <xf numFmtId="166" fontId="27" fillId="33" borderId="10" xfId="0" applyNumberFormat="1" applyFont="1" applyFill="1" applyBorder="1" applyAlignment="1">
      <alignment horizontal="center"/>
    </xf>
    <xf numFmtId="0" fontId="0" fillId="34" borderId="0" xfId="0" applyFon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0" xfId="0" applyFont="1" applyBorder="1"/>
    <xf numFmtId="0" fontId="19" fillId="0" borderId="0" xfId="44" applyFont="1"/>
    <xf numFmtId="166" fontId="0" fillId="0" borderId="10" xfId="0" applyNumberFormat="1" applyFont="1" applyBorder="1"/>
    <xf numFmtId="0" fontId="28" fillId="0" borderId="0" xfId="49" applyFont="1" applyAlignment="1">
      <alignment horizontal="center" vertical="top"/>
    </xf>
    <xf numFmtId="0" fontId="29" fillId="0" borderId="0" xfId="0" applyFont="1"/>
    <xf numFmtId="0" fontId="31" fillId="0" borderId="0" xfId="44" applyFont="1"/>
    <xf numFmtId="0" fontId="16" fillId="0" borderId="15" xfId="0" applyFont="1" applyBorder="1" applyAlignment="1"/>
    <xf numFmtId="0" fontId="16" fillId="0" borderId="27" xfId="0" applyFont="1" applyBorder="1" applyAlignment="1">
      <alignment vertical="center"/>
    </xf>
    <xf numFmtId="0" fontId="0" fillId="0" borderId="29" xfId="0" applyBorder="1" applyAlignment="1">
      <alignment horizontal="left" vertical="top"/>
    </xf>
    <xf numFmtId="0" fontId="16" fillId="0" borderId="26" xfId="0" applyFont="1" applyBorder="1"/>
    <xf numFmtId="0" fontId="16" fillId="0" borderId="28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27" xfId="0" applyFont="1" applyBorder="1"/>
    <xf numFmtId="0" fontId="30" fillId="0" borderId="27" xfId="49" applyFont="1" applyBorder="1" applyAlignment="1">
      <alignment horizontal="center" vertical="top"/>
    </xf>
    <xf numFmtId="1" fontId="30" fillId="0" borderId="27" xfId="49" applyNumberFormat="1" applyFont="1" applyBorder="1" applyAlignment="1">
      <alignment horizontal="center" vertical="top"/>
    </xf>
    <xf numFmtId="0" fontId="0" fillId="0" borderId="27" xfId="0" applyFont="1" applyBorder="1" applyAlignment="1">
      <alignment horizontal="center"/>
    </xf>
    <xf numFmtId="0" fontId="0" fillId="0" borderId="14" xfId="0" applyFont="1" applyBorder="1"/>
    <xf numFmtId="0" fontId="32" fillId="0" borderId="10" xfId="0" applyFont="1" applyBorder="1"/>
    <xf numFmtId="0" fontId="32" fillId="0" borderId="27" xfId="0" applyFont="1" applyBorder="1" applyAlignment="1">
      <alignment horizontal="center" vertical="center" wrapText="1"/>
    </xf>
    <xf numFmtId="1" fontId="0" fillId="0" borderId="27" xfId="0" applyNumberForma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3" fillId="34" borderId="10" xfId="0" applyFont="1" applyFill="1" applyBorder="1" applyAlignment="1">
      <alignment horizontal="center"/>
    </xf>
    <xf numFmtId="166" fontId="27" fillId="33" borderId="14" xfId="0" applyNumberFormat="1" applyFont="1" applyFill="1" applyBorder="1" applyAlignment="1">
      <alignment horizontal="center"/>
    </xf>
    <xf numFmtId="166" fontId="0" fillId="34" borderId="14" xfId="0" applyNumberFormat="1" applyFill="1" applyBorder="1" applyAlignment="1">
      <alignment horizontal="center"/>
    </xf>
    <xf numFmtId="9" fontId="0" fillId="34" borderId="14" xfId="2" applyFont="1" applyFill="1" applyBorder="1" applyAlignment="1">
      <alignment horizontal="center"/>
    </xf>
    <xf numFmtId="0" fontId="23" fillId="34" borderId="0" xfId="0" applyFont="1" applyFill="1" applyBorder="1" applyAlignment="1">
      <alignment horizontal="center"/>
    </xf>
    <xf numFmtId="166" fontId="23" fillId="34" borderId="0" xfId="0" applyNumberFormat="1" applyFont="1" applyFill="1" applyBorder="1" applyAlignment="1">
      <alignment horizontal="center"/>
    </xf>
    <xf numFmtId="0" fontId="33" fillId="0" borderId="10" xfId="0" applyFont="1" applyBorder="1" applyAlignment="1">
      <alignment horizontal="center" vertical="center" wrapText="1"/>
    </xf>
    <xf numFmtId="166" fontId="33" fillId="34" borderId="10" xfId="1" applyNumberFormat="1" applyFont="1" applyFill="1" applyBorder="1" applyAlignment="1">
      <alignment horizontal="center" vertical="center"/>
    </xf>
    <xf numFmtId="1" fontId="0" fillId="34" borderId="11" xfId="0" applyNumberFormat="1" applyFill="1" applyBorder="1" applyAlignment="1">
      <alignment horizontal="center"/>
    </xf>
    <xf numFmtId="166" fontId="23" fillId="34" borderId="14" xfId="0" applyNumberFormat="1" applyFont="1" applyFill="1" applyBorder="1" applyAlignment="1">
      <alignment horizontal="center"/>
    </xf>
    <xf numFmtId="0" fontId="16" fillId="33" borderId="14" xfId="0" applyFont="1" applyFill="1" applyBorder="1"/>
    <xf numFmtId="0" fontId="16" fillId="33" borderId="14" xfId="0" applyFont="1" applyFill="1" applyBorder="1" applyAlignment="1">
      <alignment horizontal="center"/>
    </xf>
    <xf numFmtId="9" fontId="16" fillId="33" borderId="14" xfId="2" applyFont="1" applyFill="1" applyBorder="1" applyAlignment="1">
      <alignment horizontal="center"/>
    </xf>
    <xf numFmtId="166" fontId="16" fillId="33" borderId="14" xfId="1" applyNumberFormat="1" applyFont="1" applyFill="1" applyBorder="1" applyAlignment="1">
      <alignment horizontal="center"/>
    </xf>
    <xf numFmtId="166" fontId="0" fillId="34" borderId="0" xfId="1" applyNumberFormat="1" applyFont="1" applyFill="1"/>
    <xf numFmtId="1" fontId="0" fillId="0" borderId="14" xfId="0" applyNumberFormat="1" applyFont="1" applyBorder="1" applyAlignment="1">
      <alignment horizontal="center"/>
    </xf>
    <xf numFmtId="0" fontId="16" fillId="0" borderId="30" xfId="0" applyFont="1" applyBorder="1" applyAlignment="1">
      <alignment vertical="center"/>
    </xf>
    <xf numFmtId="0" fontId="0" fillId="0" borderId="30" xfId="0" applyFont="1" applyBorder="1"/>
    <xf numFmtId="166" fontId="0" fillId="0" borderId="30" xfId="0" applyNumberFormat="1" applyFont="1" applyBorder="1" applyAlignment="1">
      <alignment horizontal="center"/>
    </xf>
    <xf numFmtId="0" fontId="27" fillId="0" borderId="32" xfId="0" applyFont="1" applyBorder="1" applyAlignment="1">
      <alignment horizontal="center" vertical="center" wrapText="1"/>
    </xf>
    <xf numFmtId="0" fontId="27" fillId="0" borderId="34" xfId="0" applyFont="1" applyBorder="1" applyAlignment="1">
      <alignment horizontal="center" vertical="center" wrapText="1"/>
    </xf>
    <xf numFmtId="166" fontId="0" fillId="0" borderId="35" xfId="0" applyNumberFormat="1" applyFont="1" applyBorder="1" applyAlignment="1">
      <alignment horizontal="center"/>
    </xf>
    <xf numFmtId="1" fontId="0" fillId="0" borderId="36" xfId="0" applyNumberFormat="1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27" fillId="0" borderId="39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1" fontId="0" fillId="34" borderId="41" xfId="0" applyNumberFormat="1" applyFont="1" applyFill="1" applyBorder="1"/>
    <xf numFmtId="166" fontId="0" fillId="0" borderId="42" xfId="0" applyNumberFormat="1" applyFont="1" applyBorder="1" applyAlignment="1">
      <alignment horizontal="center"/>
    </xf>
    <xf numFmtId="166" fontId="0" fillId="34" borderId="41" xfId="0" applyNumberFormat="1" applyFont="1" applyFill="1" applyBorder="1"/>
    <xf numFmtId="166" fontId="0" fillId="34" borderId="42" xfId="0" applyNumberFormat="1" applyFont="1" applyFill="1" applyBorder="1"/>
    <xf numFmtId="166" fontId="0" fillId="0" borderId="41" xfId="0" applyNumberFormat="1" applyFont="1" applyBorder="1" applyAlignment="1">
      <alignment horizontal="center"/>
    </xf>
    <xf numFmtId="1" fontId="0" fillId="34" borderId="43" xfId="0" applyNumberFormat="1" applyFont="1" applyFill="1" applyBorder="1" applyAlignment="1">
      <alignment horizontal="center"/>
    </xf>
    <xf numFmtId="1" fontId="0" fillId="34" borderId="44" xfId="0" applyNumberFormat="1" applyFont="1" applyFill="1" applyBorder="1" applyAlignment="1">
      <alignment horizontal="center"/>
    </xf>
    <xf numFmtId="1" fontId="0" fillId="0" borderId="43" xfId="0" applyNumberFormat="1" applyFont="1" applyBorder="1" applyAlignment="1">
      <alignment horizontal="center"/>
    </xf>
    <xf numFmtId="1" fontId="0" fillId="0" borderId="44" xfId="0" applyNumberFormat="1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34" borderId="31" xfId="0" applyFont="1" applyFill="1" applyBorder="1" applyAlignment="1">
      <alignment horizontal="center" vertical="top"/>
    </xf>
    <xf numFmtId="0" fontId="0" fillId="34" borderId="33" xfId="0" applyFont="1" applyFill="1" applyBorder="1" applyAlignment="1">
      <alignment horizontal="center" vertical="top"/>
    </xf>
    <xf numFmtId="0" fontId="0" fillId="34" borderId="37" xfId="0" applyFont="1" applyFill="1" applyBorder="1" applyAlignment="1">
      <alignment horizontal="center" vertical="top" wrapText="1"/>
    </xf>
    <xf numFmtId="0" fontId="0" fillId="34" borderId="38" xfId="0" applyFont="1" applyFill="1" applyBorder="1" applyAlignment="1">
      <alignment horizontal="center" vertical="top" wrapText="1"/>
    </xf>
    <xf numFmtId="0" fontId="23" fillId="34" borderId="14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50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Entrée" xfId="11" builtinId="20" customBuiltin="1"/>
    <cellStyle name="Insatisfaisant" xfId="9" builtinId="27" customBuiltin="1"/>
    <cellStyle name="Lien hypertexte" xfId="44" builtinId="8"/>
    <cellStyle name="Milliers" xfId="1" builtinId="3"/>
    <cellStyle name="Milliers 2" xfId="46" xr:uid="{A5E54457-0309-45AC-80EB-630DC0D88863}"/>
    <cellStyle name="Milliers 2 2" xfId="47" xr:uid="{A8E21D34-3B74-4F3B-988E-2E3CE64C789E}"/>
    <cellStyle name="Neutre" xfId="10" builtinId="28" customBuiltin="1"/>
    <cellStyle name="Normal" xfId="0" builtinId="0"/>
    <cellStyle name="Normal 2" xfId="45" xr:uid="{A048569B-6538-42A8-ABFC-07F881B6E476}"/>
    <cellStyle name="Normal 3" xfId="48" xr:uid="{CF155157-46B7-4477-87D1-8FE81A0F2EAB}"/>
    <cellStyle name="Normal 4" xfId="49" xr:uid="{0F569F8A-76AC-4E33-AA55-9F9F75F165EE}"/>
    <cellStyle name="Note" xfId="17" builtinId="10" customBuiltin="1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Expected</a:t>
            </a:r>
            <a:r>
              <a:rPr lang="en-GB" baseline="0">
                <a:solidFill>
                  <a:schemeClr val="tx1"/>
                </a:solidFill>
              </a:rPr>
              <a:t> </a:t>
            </a:r>
            <a:r>
              <a:rPr lang="en-GB">
                <a:solidFill>
                  <a:schemeClr val="tx1"/>
                </a:solidFill>
              </a:rPr>
              <a:t>Daily Slot Distribution</a:t>
            </a:r>
          </a:p>
        </c:rich>
      </c:tx>
      <c:layout>
        <c:manualLayout>
          <c:xMode val="edge"/>
          <c:yMode val="edge"/>
          <c:x val="0.345236001749781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22703412073491E-2"/>
          <c:y val="5.0925925925925923E-2"/>
          <c:w val="0.84849759405074354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Slots!$F$15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Slots!$B$16:$B$22</c:f>
              <c:strCache>
                <c:ptCount val="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</c:strCache>
            </c:strRef>
          </c:cat>
          <c:val>
            <c:numRef>
              <c:f>Slots!$F$16:$F$22</c:f>
              <c:numCache>
                <c:formatCode>0%</c:formatCode>
                <c:ptCount val="7"/>
                <c:pt idx="0">
                  <c:v>0.76190476190476186</c:v>
                </c:pt>
                <c:pt idx="1">
                  <c:v>1.1428571428571428</c:v>
                </c:pt>
                <c:pt idx="2">
                  <c:v>1.3333333333333333</c:v>
                </c:pt>
                <c:pt idx="3">
                  <c:v>0.76190476190476186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A-4002-B9FE-2D119A676ABE}"/>
            </c:ext>
          </c:extLst>
        </c:ser>
        <c:ser>
          <c:idx val="1"/>
          <c:order val="1"/>
          <c:tx>
            <c:strRef>
              <c:f>Slots!$G$15</c:f>
              <c:strCache>
                <c:ptCount val="1"/>
                <c:pt idx="0">
                  <c:v>Tue-Fri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Slots!$B$16:$B$22</c:f>
              <c:strCache>
                <c:ptCount val="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</c:strCache>
            </c:strRef>
          </c:cat>
          <c:val>
            <c:numRef>
              <c:f>Slots!$G$16:$G$22</c:f>
              <c:numCache>
                <c:formatCode>0%</c:formatCode>
                <c:ptCount val="7"/>
                <c:pt idx="0">
                  <c:v>0.58333333333333337</c:v>
                </c:pt>
                <c:pt idx="1">
                  <c:v>0.29166666666666669</c:v>
                </c:pt>
                <c:pt idx="2">
                  <c:v>0.58333333333333337</c:v>
                </c:pt>
                <c:pt idx="3">
                  <c:v>1.1666666666666667</c:v>
                </c:pt>
                <c:pt idx="4">
                  <c:v>1.4583333333333335</c:v>
                </c:pt>
                <c:pt idx="5">
                  <c:v>1.75</c:v>
                </c:pt>
                <c:pt idx="6">
                  <c:v>1.1666666666666667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A-4002-B9FE-2D119A676ABE}"/>
            </c:ext>
          </c:extLst>
        </c:ser>
        <c:ser>
          <c:idx val="2"/>
          <c:order val="2"/>
          <c:tx>
            <c:strRef>
              <c:f>Slots!$H$15</c:f>
              <c:strCache>
                <c:ptCount val="1"/>
                <c:pt idx="0">
                  <c:v>Sa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Slots!$B$16:$B$22</c:f>
              <c:strCache>
                <c:ptCount val="7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S4</c:v>
                </c:pt>
                <c:pt idx="4">
                  <c:v>S5</c:v>
                </c:pt>
                <c:pt idx="5">
                  <c:v>S6</c:v>
                </c:pt>
                <c:pt idx="6">
                  <c:v>S7</c:v>
                </c:pt>
              </c:strCache>
            </c:strRef>
          </c:cat>
          <c:val>
            <c:numRef>
              <c:f>Slots!$H$16:$H$22</c:f>
              <c:numCache>
                <c:formatCode>0%</c:formatCode>
                <c:ptCount val="7"/>
                <c:pt idx="0">
                  <c:v>0.63157894736842113</c:v>
                </c:pt>
                <c:pt idx="1">
                  <c:v>1.1052631578947369</c:v>
                </c:pt>
                <c:pt idx="2">
                  <c:v>1.2631578947368423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AA-4002-B9FE-2D119A676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025584"/>
        <c:axId val="691028536"/>
      </c:barChart>
      <c:catAx>
        <c:axId val="69102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28536"/>
        <c:crosses val="autoZero"/>
        <c:auto val="1"/>
        <c:lblAlgn val="ctr"/>
        <c:lblOffset val="100"/>
        <c:noMultiLvlLbl val="0"/>
      </c:catAx>
      <c:valAx>
        <c:axId val="6910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2558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9.8398075240594962E-2"/>
          <c:y val="0.19299686497521143"/>
          <c:w val="0.42104636920384947"/>
          <c:h val="0.100117381160688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Growth/a [%]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12270341207349E-2"/>
          <c:y val="4.2083333333333355E-2"/>
          <c:w val="0.89841234443810625"/>
          <c:h val="0.910119710645925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'Fact-Sheet'!$Q$2</c:f>
              <c:strCache>
                <c:ptCount val="1"/>
                <c:pt idx="0">
                  <c:v>Total Growth/a [%]</c:v>
                </c:pt>
              </c:strCache>
            </c:strRef>
          </c:tx>
          <c:spPr>
            <a:solidFill>
              <a:srgbClr val="00CC00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'Fact-Sheet'!$F$4:$F$17</c:f>
              <c:numCache>
                <c:formatCode>General</c:formatCod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numCache>
            </c:numRef>
          </c:cat>
          <c:val>
            <c:numRef>
              <c:f>'Fact-Sheet'!$Q$4:$Q$17</c:f>
              <c:numCache>
                <c:formatCode>0.0%</c:formatCode>
                <c:ptCount val="14"/>
                <c:pt idx="0">
                  <c:v>-6.6225165562913907E-3</c:v>
                </c:pt>
                <c:pt idx="1">
                  <c:v>0</c:v>
                </c:pt>
                <c:pt idx="2">
                  <c:v>5.3333333333333337E-2</c:v>
                </c:pt>
                <c:pt idx="3">
                  <c:v>4.4303797468354431E-2</c:v>
                </c:pt>
                <c:pt idx="4">
                  <c:v>6.6666666666666666E-2</c:v>
                </c:pt>
                <c:pt idx="5">
                  <c:v>3.4659090909090876E-2</c:v>
                </c:pt>
                <c:pt idx="6">
                  <c:v>-6.0406370126303921E-3</c:v>
                </c:pt>
                <c:pt idx="7">
                  <c:v>2.2099447513812154E-2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6A-4B03-93CF-708AB765B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5688944"/>
        <c:axId val="725691896"/>
      </c:barChart>
      <c:lineChart>
        <c:grouping val="standard"/>
        <c:varyColors val="0"/>
        <c:ser>
          <c:idx val="1"/>
          <c:order val="1"/>
          <c:tx>
            <c:strRef>
              <c:f>'Fact-Sheet'!$S$2</c:f>
              <c:strCache>
                <c:ptCount val="1"/>
                <c:pt idx="0">
                  <c:v>Total Expct Growth/a [%]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'Fact-Sheet'!$F$4:$F$17</c:f>
              <c:numCache>
                <c:formatCode>General</c:formatCode>
                <c:ptCount val="1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  <c:pt idx="10">
                  <c:v>2021</c:v>
                </c:pt>
                <c:pt idx="11">
                  <c:v>2022</c:v>
                </c:pt>
                <c:pt idx="12">
                  <c:v>2023</c:v>
                </c:pt>
                <c:pt idx="13">
                  <c:v>2024</c:v>
                </c:pt>
              </c:numCache>
            </c:numRef>
          </c:cat>
          <c:val>
            <c:numRef>
              <c:f>'Fact-Sheet'!$S$4:$S$17</c:f>
              <c:numCache>
                <c:formatCode>0.0%</c:formatCode>
                <c:ptCount val="14"/>
                <c:pt idx="8" formatCode="0%">
                  <c:v>0.01</c:v>
                </c:pt>
                <c:pt idx="9" formatCode="0%">
                  <c:v>1.4999999999999999E-2</c:v>
                </c:pt>
                <c:pt idx="10" formatCode="0%">
                  <c:v>2.2499999999999999E-2</c:v>
                </c:pt>
                <c:pt idx="11" formatCode="0%">
                  <c:v>3.2500000000000001E-2</c:v>
                </c:pt>
                <c:pt idx="12" formatCode="0%">
                  <c:v>4.4999999999999998E-2</c:v>
                </c:pt>
                <c:pt idx="13" formatCode="0%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6C-46FC-A6B9-CBAAD2D0249E}"/>
            </c:ext>
          </c:extLst>
        </c:ser>
        <c:ser>
          <c:idx val="2"/>
          <c:order val="2"/>
          <c:tx>
            <c:strRef>
              <c:f>'Fact-Sheet'!$R$2</c:f>
              <c:strCache>
                <c:ptCount val="1"/>
                <c:pt idx="0">
                  <c:v>MA Total Growth/a [%]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'Fact-Sheet'!$R$3:$R$11</c:f>
              <c:numCache>
                <c:formatCode>0.0%</c:formatCode>
                <c:ptCount val="9"/>
                <c:pt idx="1">
                  <c:v>8.4780706935225335E-3</c:v>
                </c:pt>
                <c:pt idx="2">
                  <c:v>1.5570272259013982E-2</c:v>
                </c:pt>
                <c:pt idx="3">
                  <c:v>3.2545710267229251E-2</c:v>
                </c:pt>
                <c:pt idx="4">
                  <c:v>5.4767932489451478E-2</c:v>
                </c:pt>
                <c:pt idx="5">
                  <c:v>4.8543185014703984E-2</c:v>
                </c:pt>
                <c:pt idx="6">
                  <c:v>3.1761706854375717E-2</c:v>
                </c:pt>
                <c:pt idx="7">
                  <c:v>1.6905967136757547E-2</c:v>
                </c:pt>
                <c:pt idx="8">
                  <c:v>8.0294052505908813E-3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B6C-46FC-A6B9-CBAAD2D02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5688944"/>
        <c:axId val="725691896"/>
      </c:lineChart>
      <c:catAx>
        <c:axId val="72568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691896"/>
        <c:crosses val="autoZero"/>
        <c:auto val="1"/>
        <c:lblAlgn val="ctr"/>
        <c:lblOffset val="100"/>
        <c:noMultiLvlLbl val="0"/>
      </c:catAx>
      <c:valAx>
        <c:axId val="725691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688944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49474303615273896"/>
          <c:y val="0.25157741043958903"/>
          <c:w val="0.32783760900855136"/>
          <c:h val="0.166116354660965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43287</xdr:colOff>
      <xdr:row>1</xdr:row>
      <xdr:rowOff>95250</xdr:rowOff>
    </xdr:from>
    <xdr:to>
      <xdr:col>12</xdr:col>
      <xdr:colOff>503898</xdr:colOff>
      <xdr:row>11</xdr:row>
      <xdr:rowOff>94996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270F2E1-90D4-4799-94EB-58F16F572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712" y="285750"/>
          <a:ext cx="6966186" cy="1904746"/>
        </a:xfrm>
        <a:prstGeom prst="rect">
          <a:avLst/>
        </a:prstGeom>
      </xdr:spPr>
    </xdr:pic>
    <xdr:clientData/>
  </xdr:twoCellAnchor>
  <xdr:twoCellAnchor>
    <xdr:from>
      <xdr:col>8</xdr:col>
      <xdr:colOff>152400</xdr:colOff>
      <xdr:row>13</xdr:row>
      <xdr:rowOff>166687</xdr:rowOff>
    </xdr:from>
    <xdr:to>
      <xdr:col>16</xdr:col>
      <xdr:colOff>200025</xdr:colOff>
      <xdr:row>28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8F7C9AF-131B-4474-91BD-1587D489CA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192767</xdr:colOff>
      <xdr:row>12</xdr:row>
      <xdr:rowOff>11340</xdr:rowOff>
    </xdr:from>
    <xdr:to>
      <xdr:col>29</xdr:col>
      <xdr:colOff>680356</xdr:colOff>
      <xdr:row>23</xdr:row>
      <xdr:rowOff>90715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C35216C-318E-4869-B69A-B2EE1F83AE87}"/>
            </a:ext>
          </a:extLst>
        </xdr:cNvPr>
        <xdr:cNvSpPr/>
      </xdr:nvSpPr>
      <xdr:spPr>
        <a:xfrm>
          <a:off x="3571874" y="3673929"/>
          <a:ext cx="12269107" cy="206375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372379</xdr:colOff>
      <xdr:row>0</xdr:row>
      <xdr:rowOff>192767</xdr:rowOff>
    </xdr:from>
    <xdr:to>
      <xdr:col>29</xdr:col>
      <xdr:colOff>181429</xdr:colOff>
      <xdr:row>11</xdr:row>
      <xdr:rowOff>192767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F95644-53C6-40F7-AA2F-68B787CAC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wissRetail_101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iss Retail"/>
    </sheetNames>
    <sheetDataSet>
      <sheetData sheetId="0">
        <row r="3">
          <cell r="C3" t="str">
            <v>2016M11</v>
          </cell>
          <cell r="D3" t="str">
            <v>2016M12</v>
          </cell>
          <cell r="E3" t="str">
            <v>2017M01</v>
          </cell>
          <cell r="F3" t="str">
            <v>2017M02</v>
          </cell>
          <cell r="G3" t="str">
            <v>2017M03</v>
          </cell>
          <cell r="H3" t="str">
            <v>2017M04</v>
          </cell>
          <cell r="I3" t="str">
            <v>2017M05</v>
          </cell>
          <cell r="J3" t="str">
            <v>2017M06</v>
          </cell>
          <cell r="K3" t="str">
            <v>2017M07</v>
          </cell>
          <cell r="L3" t="str">
            <v>2017M08</v>
          </cell>
          <cell r="M3" t="str">
            <v>2017M09</v>
          </cell>
          <cell r="N3" t="str">
            <v>2017M10</v>
          </cell>
          <cell r="O3" t="str">
            <v>2017M11</v>
          </cell>
          <cell r="P3" t="str">
            <v>2017M12</v>
          </cell>
          <cell r="Q3" t="str">
            <v>2018M01</v>
          </cell>
          <cell r="R3" t="str">
            <v>2018M02</v>
          </cell>
          <cell r="S3" t="str">
            <v>2018M03</v>
          </cell>
          <cell r="T3" t="str">
            <v>2018M04</v>
          </cell>
          <cell r="U3" t="str">
            <v>2018M05</v>
          </cell>
          <cell r="V3" t="str">
            <v>2018M06</v>
          </cell>
          <cell r="W3" t="str">
            <v>2018M07</v>
          </cell>
          <cell r="X3" t="str">
            <v>2018M08</v>
          </cell>
          <cell r="Y3" t="str">
            <v>2018M09</v>
          </cell>
          <cell r="Z3" t="str">
            <v>2018M10</v>
          </cell>
          <cell r="AA3" t="str">
            <v>2018M11</v>
          </cell>
          <cell r="AB3" t="str">
            <v>2018M12</v>
          </cell>
          <cell r="AC3" t="str">
            <v>2019M01</v>
          </cell>
          <cell r="AD3" t="str">
            <v>2019M02</v>
          </cell>
          <cell r="AE3" t="str">
            <v>2019M03</v>
          </cell>
          <cell r="AF3" t="str">
            <v>2019M04</v>
          </cell>
          <cell r="AG3" t="str">
            <v>2019M05</v>
          </cell>
          <cell r="AH3" t="str">
            <v>2019M06</v>
          </cell>
          <cell r="AI3" t="str">
            <v>2019M07</v>
          </cell>
          <cell r="AJ3" t="str">
            <v>2019M08</v>
          </cell>
          <cell r="AK3" t="str">
            <v>2019M09</v>
          </cell>
        </row>
        <row r="6">
          <cell r="B6" t="str">
            <v>Nahrungsmittel, Getränke, Tabak</v>
          </cell>
        </row>
        <row r="9">
          <cell r="C9">
            <v>99.2</v>
          </cell>
          <cell r="D9">
            <v>112.7</v>
          </cell>
          <cell r="E9">
            <v>90.9</v>
          </cell>
          <cell r="F9">
            <v>89.1</v>
          </cell>
          <cell r="G9">
            <v>101.4</v>
          </cell>
          <cell r="H9">
            <v>97</v>
          </cell>
          <cell r="I9">
            <v>99.8</v>
          </cell>
          <cell r="J9">
            <v>99.9</v>
          </cell>
          <cell r="K9">
            <v>97.5</v>
          </cell>
          <cell r="L9">
            <v>94.1</v>
          </cell>
          <cell r="M9">
            <v>93.8</v>
          </cell>
          <cell r="N9">
            <v>97.8</v>
          </cell>
          <cell r="O9">
            <v>97.7</v>
          </cell>
          <cell r="P9">
            <v>114.5</v>
          </cell>
          <cell r="Q9">
            <v>91.7</v>
          </cell>
          <cell r="R9">
            <v>90.5</v>
          </cell>
          <cell r="S9">
            <v>103.1</v>
          </cell>
          <cell r="T9">
            <v>99</v>
          </cell>
          <cell r="U9">
            <v>102.4</v>
          </cell>
          <cell r="V9">
            <v>102.2</v>
          </cell>
          <cell r="W9">
            <v>99.4</v>
          </cell>
          <cell r="X9">
            <v>97.6</v>
          </cell>
          <cell r="Y9">
            <v>94.7</v>
          </cell>
          <cell r="Z9">
            <v>99.3</v>
          </cell>
          <cell r="AA9">
            <v>99.6</v>
          </cell>
          <cell r="AB9">
            <v>117.1</v>
          </cell>
          <cell r="AC9">
            <v>92.5</v>
          </cell>
          <cell r="AD9">
            <v>90.4</v>
          </cell>
          <cell r="AE9">
            <v>103.7</v>
          </cell>
          <cell r="AF9">
            <v>100.1</v>
          </cell>
          <cell r="AG9">
            <v>100.3</v>
          </cell>
          <cell r="AH9">
            <v>102.7</v>
          </cell>
          <cell r="AI9">
            <v>100.4</v>
          </cell>
          <cell r="AJ9">
            <v>97.5</v>
          </cell>
          <cell r="AK9">
            <v>94.8</v>
          </cell>
        </row>
        <row r="15">
          <cell r="S15" t="str">
            <v>Min</v>
          </cell>
          <cell r="T15" t="str">
            <v>Max</v>
          </cell>
          <cell r="U15" t="str">
            <v>Moyenne</v>
          </cell>
        </row>
        <row r="16">
          <cell r="S16">
            <v>0.93095502261671081</v>
          </cell>
          <cell r="T16">
            <v>0.92446073124011008</v>
          </cell>
          <cell r="U16">
            <v>0.92653559550372599</v>
          </cell>
        </row>
        <row r="17">
          <cell r="S17">
            <v>0.91252026969360756</v>
          </cell>
          <cell r="T17">
            <v>0.90447239110518873</v>
          </cell>
          <cell r="U17">
            <v>0.909358817833537</v>
          </cell>
        </row>
        <row r="18">
          <cell r="S18">
            <v>1.0384910813348127</v>
          </cell>
          <cell r="T18">
            <v>1.0363954359956693</v>
          </cell>
          <cell r="U18">
            <v>1.0380162505788744</v>
          </cell>
        </row>
        <row r="19">
          <cell r="S19">
            <v>0.99342835196722712</v>
          </cell>
          <cell r="T19">
            <v>1.0004164237528108</v>
          </cell>
          <cell r="U19">
            <v>0.99726350355744553</v>
          </cell>
        </row>
        <row r="20">
          <cell r="S20">
            <v>1.0221046342920543</v>
          </cell>
          <cell r="T20">
            <v>1.0234030149079705</v>
          </cell>
          <cell r="U20">
            <v>1.018818675535722</v>
          </cell>
        </row>
        <row r="21">
          <cell r="S21">
            <v>1.0231287872322268</v>
          </cell>
          <cell r="T21">
            <v>1.0264012659282087</v>
          </cell>
          <cell r="U21">
            <v>1.026565065465415</v>
          </cell>
        </row>
        <row r="22">
          <cell r="S22">
            <v>0.9985491166680891</v>
          </cell>
          <cell r="T22">
            <v>1.0034146747730492</v>
          </cell>
          <cell r="U22">
            <v>1.0013050983033724</v>
          </cell>
        </row>
        <row r="23">
          <cell r="S23">
            <v>0.96372791670222746</v>
          </cell>
          <cell r="T23">
            <v>0.97543099858415927</v>
          </cell>
          <cell r="U23">
            <v>0.97402433376836617</v>
          </cell>
        </row>
        <row r="24">
          <cell r="S24">
            <v>0.96065545788171036</v>
          </cell>
          <cell r="T24">
            <v>0.94744732239526952</v>
          </cell>
          <cell r="U24">
            <v>0.95415315960089275</v>
          </cell>
        </row>
        <row r="25">
          <cell r="S25">
            <v>1.0016215754886062</v>
          </cell>
          <cell r="T25">
            <v>0.99242108769884241</v>
          </cell>
          <cell r="U25">
            <v>0.99574790552772297</v>
          </cell>
        </row>
        <row r="26">
          <cell r="S26">
            <v>1.000597422548434</v>
          </cell>
          <cell r="T26">
            <v>0.99541933871908062</v>
          </cell>
          <cell r="U26">
            <v>0.9986107018060878</v>
          </cell>
        </row>
        <row r="27">
          <cell r="S27">
            <v>1.1542203635742938</v>
          </cell>
          <cell r="T27">
            <v>1.170317314899642</v>
          </cell>
          <cell r="U27">
            <v>1.1596008925188397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ckinsey.com/industries/retail/our-insights/reviving-grocery-retail-six-imperatives" TargetMode="External"/><Relationship Id="rId2" Type="http://schemas.openxmlformats.org/officeDocument/2006/relationships/hyperlink" Target="https://www.dematic.com/en-us/solutions/solutions-by-system/microfulfillment/" TargetMode="External"/><Relationship Id="rId1" Type="http://schemas.openxmlformats.org/officeDocument/2006/relationships/hyperlink" Target="https://progressivegrocer.com/macro-effects-micro-fulfillment-grocery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nfo.leshop.ch/de/unternehmen/faktenblatt/" TargetMode="External"/><Relationship Id="rId1" Type="http://schemas.openxmlformats.org/officeDocument/2006/relationships/hyperlink" Target="https://www.slideshare.net/DimitrisTzanos/prjauebmscleshop15jul2015" TargetMode="Externa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A8B7-5226-40CE-8EED-4E3F57E7F735}">
  <sheetPr>
    <tabColor theme="0" tint="-0.14999847407452621"/>
  </sheetPr>
  <dimension ref="A1:U26"/>
  <sheetViews>
    <sheetView topLeftCell="A2" workbookViewId="0">
      <selection activeCell="I21" sqref="I21"/>
    </sheetView>
  </sheetViews>
  <sheetFormatPr baseColWidth="10" defaultRowHeight="15" x14ac:dyDescent="0.25"/>
  <cols>
    <col min="1" max="1" width="3.85546875" customWidth="1"/>
    <col min="2" max="2" width="42" bestFit="1" customWidth="1"/>
    <col min="3" max="3" width="10.5703125" customWidth="1"/>
    <col min="4" max="4" width="12.42578125" customWidth="1"/>
    <col min="5" max="6" width="12.5703125" customWidth="1"/>
    <col min="7" max="7" width="2.42578125" customWidth="1"/>
    <col min="8" max="8" width="28.5703125" customWidth="1"/>
    <col min="9" max="9" width="9.28515625" bestFit="1" customWidth="1"/>
    <col min="10" max="10" width="10.7109375" customWidth="1"/>
    <col min="11" max="15" width="12.5703125" customWidth="1"/>
    <col min="16" max="16" width="6" customWidth="1"/>
    <col min="19" max="19" width="11.85546875" style="1" bestFit="1" customWidth="1"/>
    <col min="20" max="20" width="15.7109375" customWidth="1"/>
  </cols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0" t="s">
        <v>73</v>
      </c>
      <c r="S2" s="71"/>
      <c r="U2" s="70"/>
    </row>
    <row r="3" spans="1:21" x14ac:dyDescent="0.25">
      <c r="A3" s="2"/>
      <c r="B3" s="78" t="s">
        <v>55</v>
      </c>
      <c r="C3" s="89" t="s">
        <v>46</v>
      </c>
      <c r="D3" s="89" t="s">
        <v>78</v>
      </c>
      <c r="E3" s="89" t="s">
        <v>79</v>
      </c>
      <c r="F3" s="2"/>
      <c r="G3" s="2"/>
      <c r="H3" s="2"/>
      <c r="I3" s="2"/>
      <c r="J3" s="2"/>
      <c r="K3" s="2"/>
      <c r="L3" s="2"/>
      <c r="M3" s="2"/>
      <c r="N3" s="2"/>
      <c r="O3" s="2"/>
      <c r="P3" s="69"/>
      <c r="Q3" s="70"/>
      <c r="R3" s="73" t="s">
        <v>72</v>
      </c>
      <c r="S3" s="71"/>
      <c r="U3" s="70"/>
    </row>
    <row r="4" spans="1:21" x14ac:dyDescent="0.25">
      <c r="A4" s="2"/>
      <c r="B4" s="72" t="s">
        <v>53</v>
      </c>
      <c r="C4" s="74">
        <f ca="1">SUMIF('Market Regions'!C$5:G$26,Operations!B4,'Market Regions'!G$5:G$26)</f>
        <v>29999.999999999996</v>
      </c>
      <c r="D4" s="74">
        <f ca="1">SUMIF('Market Regions'!C$5:G$26,Operations!B4,'Market Regions'!F$5:F$26)</f>
        <v>1680</v>
      </c>
      <c r="E4" s="74">
        <f ca="1">D4*'Fact-Sheet'!D$17</f>
        <v>420000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70"/>
      <c r="R4" s="73" t="s">
        <v>74</v>
      </c>
      <c r="S4" s="71"/>
      <c r="U4" s="70"/>
    </row>
    <row r="5" spans="1:21" x14ac:dyDescent="0.25">
      <c r="A5" s="2"/>
      <c r="B5" s="72" t="s">
        <v>0</v>
      </c>
      <c r="C5" s="74">
        <f ca="1">SUMIF('Market Regions'!C$5:G$26,Operations!B5,'Market Regions'!G$5:G$26)</f>
        <v>22857.142857142855</v>
      </c>
      <c r="D5" s="74">
        <f ca="1">SUMIF('Market Regions'!C$5:G$26,Operations!B5,'Market Regions'!F$5:F$26)</f>
        <v>1280</v>
      </c>
      <c r="E5" s="74">
        <f ca="1">D5*'Fact-Sheet'!D$17</f>
        <v>320000</v>
      </c>
      <c r="F5" s="2"/>
      <c r="G5" s="2"/>
      <c r="H5" s="2"/>
      <c r="I5" s="2"/>
      <c r="J5" s="2"/>
      <c r="K5" s="2"/>
      <c r="L5" s="2"/>
      <c r="M5" s="2"/>
      <c r="N5" s="2"/>
      <c r="O5" s="2"/>
      <c r="P5" s="69"/>
      <c r="Q5" s="70"/>
      <c r="S5" s="71"/>
      <c r="T5" s="70"/>
      <c r="U5" s="70"/>
    </row>
    <row r="6" spans="1:21" ht="4.5" customHeight="1" thickBot="1" x14ac:dyDescent="0.3">
      <c r="A6" s="2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70"/>
      <c r="R6" s="70"/>
      <c r="S6" s="71"/>
      <c r="T6" s="70"/>
      <c r="U6" s="70"/>
    </row>
    <row r="7" spans="1:21" ht="29.25" customHeight="1" x14ac:dyDescent="0.25">
      <c r="A7" s="2"/>
      <c r="B7" s="69"/>
      <c r="C7" s="130" t="s">
        <v>101</v>
      </c>
      <c r="D7" s="131"/>
      <c r="E7" s="132" t="s">
        <v>102</v>
      </c>
      <c r="F7" s="133"/>
      <c r="G7" s="69"/>
      <c r="H7" s="79" t="s">
        <v>80</v>
      </c>
      <c r="I7" s="90" t="s">
        <v>89</v>
      </c>
      <c r="J7" s="90" t="s">
        <v>111</v>
      </c>
      <c r="K7" s="69"/>
      <c r="L7" s="69"/>
      <c r="M7" s="69"/>
      <c r="N7" s="69"/>
      <c r="O7" s="69"/>
      <c r="P7" s="69"/>
      <c r="Q7" s="70"/>
      <c r="R7" s="70"/>
      <c r="S7" s="71"/>
      <c r="T7" s="70"/>
      <c r="U7" s="70"/>
    </row>
    <row r="8" spans="1:21" ht="25.5" x14ac:dyDescent="0.25">
      <c r="A8" s="2"/>
      <c r="B8" s="109" t="s">
        <v>75</v>
      </c>
      <c r="C8" s="112" t="s">
        <v>77</v>
      </c>
      <c r="D8" s="113" t="s">
        <v>76</v>
      </c>
      <c r="E8" s="117" t="s">
        <v>77</v>
      </c>
      <c r="F8" s="118" t="s">
        <v>76</v>
      </c>
      <c r="G8" s="2"/>
      <c r="H8" s="84" t="s">
        <v>87</v>
      </c>
      <c r="I8" s="85">
        <f>(75)/60</f>
        <v>1.25</v>
      </c>
      <c r="J8" s="91">
        <f>'Fact-Sheet'!D$6/I8</f>
        <v>41.666666666666671</v>
      </c>
      <c r="K8" s="2"/>
      <c r="L8" s="2"/>
      <c r="M8" s="2"/>
      <c r="N8" s="2"/>
      <c r="O8" s="2"/>
      <c r="P8" s="69"/>
      <c r="Q8" s="70"/>
      <c r="R8" s="75"/>
      <c r="S8" s="71"/>
      <c r="T8" s="70"/>
      <c r="U8" s="70"/>
    </row>
    <row r="9" spans="1:21" x14ac:dyDescent="0.25">
      <c r="A9" s="2"/>
      <c r="B9" s="110" t="s">
        <v>110</v>
      </c>
      <c r="C9" s="111">
        <f ca="1">C5</f>
        <v>22857.142857142855</v>
      </c>
      <c r="D9" s="114">
        <f ca="1">SUM(D10:D12)*250/14</f>
        <v>27428.571428571428</v>
      </c>
      <c r="E9" s="119">
        <f>'Market Regions'!M19</f>
        <v>3551.7857142857142</v>
      </c>
      <c r="F9" s="120">
        <f>SUM(F10:F12)*250/14</f>
        <v>4262.1428571428569</v>
      </c>
      <c r="G9" s="2"/>
      <c r="H9" s="84" t="s">
        <v>92</v>
      </c>
      <c r="I9" s="86">
        <v>4</v>
      </c>
      <c r="J9" s="91">
        <f>'Fact-Sheet'!D$6/I9</f>
        <v>13.020833333333334</v>
      </c>
      <c r="K9" s="2"/>
      <c r="L9" s="2"/>
      <c r="M9" s="2"/>
      <c r="N9" s="2"/>
      <c r="O9" s="2"/>
      <c r="P9" s="69"/>
      <c r="Q9" s="70"/>
      <c r="U9" s="70"/>
    </row>
    <row r="10" spans="1:21" x14ac:dyDescent="0.25">
      <c r="A10" s="2"/>
      <c r="B10" s="110" t="s">
        <v>103</v>
      </c>
      <c r="C10" s="111">
        <f ca="1">D5-SUM(C11:C12)</f>
        <v>0</v>
      </c>
      <c r="D10" s="114">
        <f ca="1">0.2*SUM(C11:C12)</f>
        <v>256</v>
      </c>
      <c r="E10" s="121">
        <f ca="1">C10</f>
        <v>0</v>
      </c>
      <c r="F10" s="120">
        <f>0.2*SUM(E11:E12)</f>
        <v>39.78</v>
      </c>
      <c r="G10" s="69"/>
      <c r="H10" s="84" t="s">
        <v>88</v>
      </c>
      <c r="I10" s="87">
        <v>6</v>
      </c>
      <c r="J10" s="91">
        <f>'Fact-Sheet'!D$6/I10</f>
        <v>8.6805555555555554</v>
      </c>
      <c r="K10" s="69"/>
      <c r="L10" s="69"/>
      <c r="M10" s="69"/>
      <c r="N10" s="69"/>
      <c r="O10" s="69"/>
      <c r="P10" s="69"/>
      <c r="Q10" s="70"/>
      <c r="U10" s="70"/>
    </row>
    <row r="11" spans="1:21" x14ac:dyDescent="0.25">
      <c r="A11" s="2"/>
      <c r="B11" s="110" t="s">
        <v>104</v>
      </c>
      <c r="C11" s="111">
        <f ca="1">D5-C12</f>
        <v>384</v>
      </c>
      <c r="D11" s="114">
        <f ca="1">(D5-D12)</f>
        <v>384</v>
      </c>
      <c r="E11" s="121">
        <f>'Market Regions'!L19-Operations!E12</f>
        <v>59.670000000000016</v>
      </c>
      <c r="F11" s="122">
        <f>E11</f>
        <v>59.670000000000016</v>
      </c>
      <c r="G11" s="69"/>
      <c r="H11" s="77" t="s">
        <v>71</v>
      </c>
      <c r="I11" s="69"/>
      <c r="J11" s="69"/>
      <c r="K11" s="69"/>
      <c r="L11" s="69"/>
      <c r="M11" s="69"/>
      <c r="N11" s="69"/>
      <c r="O11" s="69"/>
      <c r="P11" s="69"/>
      <c r="Q11" s="70"/>
    </row>
    <row r="12" spans="1:21" x14ac:dyDescent="0.25">
      <c r="A12" s="2"/>
      <c r="B12" s="110" t="s">
        <v>105</v>
      </c>
      <c r="C12" s="111">
        <f ca="1">0.7*D5</f>
        <v>896</v>
      </c>
      <c r="D12" s="114">
        <f ca="1">0.7*(D5)</f>
        <v>896</v>
      </c>
      <c r="E12" s="123">
        <f>0.7*'Market Regions'!L19</f>
        <v>139.22999999999999</v>
      </c>
      <c r="F12" s="122">
        <f>E12</f>
        <v>139.22999999999999</v>
      </c>
      <c r="G12" s="64"/>
      <c r="H12" s="64"/>
      <c r="I12" s="64"/>
      <c r="J12" s="64"/>
      <c r="K12" s="64"/>
      <c r="L12" s="64"/>
      <c r="M12" s="64"/>
      <c r="N12" s="64"/>
      <c r="O12" s="64"/>
      <c r="P12" s="69"/>
      <c r="Q12" s="70"/>
      <c r="U12" s="76"/>
    </row>
    <row r="13" spans="1:21" x14ac:dyDescent="0.25">
      <c r="A13" s="69"/>
      <c r="B13" s="110" t="s">
        <v>106</v>
      </c>
      <c r="C13" s="111">
        <v>0</v>
      </c>
      <c r="D13" s="114">
        <f ca="1">D10*D18/(60*D19)</f>
        <v>3.7037037037037037</v>
      </c>
      <c r="E13" s="123">
        <v>0</v>
      </c>
      <c r="F13" s="120">
        <f>F10*F18/(60*F19)</f>
        <v>0.57552083333333337</v>
      </c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70"/>
      <c r="U13" s="76"/>
    </row>
    <row r="14" spans="1:21" x14ac:dyDescent="0.25">
      <c r="A14" s="2"/>
      <c r="B14" s="110" t="s">
        <v>107</v>
      </c>
      <c r="C14" s="111">
        <f ca="1">C11*C18/(60*C19)</f>
        <v>5.5555555555555554</v>
      </c>
      <c r="D14" s="114">
        <f ca="1">D11*D18/(60*D19)</f>
        <v>5.5555555555555554</v>
      </c>
      <c r="E14" s="123">
        <f>E11*E18/(60*E19)</f>
        <v>0.86328125000000022</v>
      </c>
      <c r="F14" s="120">
        <f>F11*F18/(60*F19)</f>
        <v>0.86328125000000022</v>
      </c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  <c r="U14" s="70"/>
    </row>
    <row r="15" spans="1:21" x14ac:dyDescent="0.25">
      <c r="A15" s="2"/>
      <c r="B15" s="110" t="s">
        <v>108</v>
      </c>
      <c r="C15" s="111">
        <f ca="1">C12*C18/(60*C19)</f>
        <v>12.962962962962964</v>
      </c>
      <c r="D15" s="114">
        <f ca="1">D12*D18/(60*D19)</f>
        <v>12.962962962962964</v>
      </c>
      <c r="E15" s="123">
        <f>E12*E18/(60*E19)</f>
        <v>2.0143229166666665</v>
      </c>
      <c r="F15" s="120">
        <f>F12*F18/(60*F19)</f>
        <v>2.0143229166666665</v>
      </c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  <c r="U15" s="70"/>
    </row>
    <row r="16" spans="1:21" x14ac:dyDescent="0.25">
      <c r="A16" s="2"/>
      <c r="B16" s="110" t="s">
        <v>54</v>
      </c>
      <c r="C16" s="111">
        <f ca="1">SUM(C14:C15)</f>
        <v>18.518518518518519</v>
      </c>
      <c r="D16" s="114">
        <f t="shared" ref="D16:F16" ca="1" si="0">SUM(D14:D15)</f>
        <v>18.518518518518519</v>
      </c>
      <c r="E16" s="123">
        <f t="shared" si="0"/>
        <v>2.877604166666667</v>
      </c>
      <c r="F16" s="120">
        <f t="shared" si="0"/>
        <v>2.877604166666667</v>
      </c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70"/>
      <c r="R16" s="70"/>
      <c r="S16" s="71"/>
      <c r="T16" s="70"/>
      <c r="U16" s="70"/>
    </row>
    <row r="17" spans="1:21" x14ac:dyDescent="0.25">
      <c r="A17" s="69"/>
      <c r="B17" s="88" t="s">
        <v>90</v>
      </c>
      <c r="C17" s="108">
        <v>12</v>
      </c>
      <c r="D17" s="115">
        <f>J10</f>
        <v>8.6805555555555554</v>
      </c>
      <c r="E17" s="124">
        <f>C17</f>
        <v>12</v>
      </c>
      <c r="F17" s="125">
        <f>D17</f>
        <v>8.6805555555555554</v>
      </c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70"/>
      <c r="R17" s="70"/>
      <c r="S17" s="71"/>
      <c r="T17" s="70"/>
      <c r="U17" s="70"/>
    </row>
    <row r="18" spans="1:21" x14ac:dyDescent="0.25">
      <c r="A18" s="69"/>
      <c r="B18" s="88" t="s">
        <v>91</v>
      </c>
      <c r="C18" s="108">
        <f>J9</f>
        <v>13.020833333333334</v>
      </c>
      <c r="D18" s="115">
        <f>C18</f>
        <v>13.020833333333334</v>
      </c>
      <c r="E18" s="126">
        <f t="shared" ref="E18:F18" si="1">D18</f>
        <v>13.020833333333334</v>
      </c>
      <c r="F18" s="127">
        <f t="shared" si="1"/>
        <v>13.020833333333334</v>
      </c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70"/>
      <c r="U18" s="70"/>
    </row>
    <row r="19" spans="1:21" ht="15.75" thickBot="1" x14ac:dyDescent="0.3">
      <c r="A19" s="69"/>
      <c r="B19" s="88" t="s">
        <v>109</v>
      </c>
      <c r="C19" s="92">
        <v>15</v>
      </c>
      <c r="D19" s="116">
        <f>C19</f>
        <v>15</v>
      </c>
      <c r="E19" s="128">
        <v>15</v>
      </c>
      <c r="F19" s="129">
        <v>15</v>
      </c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70"/>
      <c r="U19" s="70"/>
    </row>
    <row r="20" spans="1:21" ht="4.5" customHeight="1" x14ac:dyDescent="0.25">
      <c r="A20" s="6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70"/>
      <c r="R20" s="70"/>
      <c r="S20" s="71"/>
      <c r="U20" s="70"/>
    </row>
    <row r="21" spans="1:21" ht="33.75" customHeight="1" x14ac:dyDescent="0.25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70"/>
    </row>
    <row r="22" spans="1:21" x14ac:dyDescent="0.2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70"/>
    </row>
    <row r="23" spans="1:21" x14ac:dyDescent="0.2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70"/>
      <c r="R23" s="70"/>
      <c r="S23" s="71"/>
    </row>
    <row r="24" spans="1:21" x14ac:dyDescent="0.2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70"/>
    </row>
    <row r="25" spans="1:21" ht="9" customHeight="1" x14ac:dyDescent="0.25">
      <c r="A25" s="2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70"/>
    </row>
    <row r="26" spans="1:21" x14ac:dyDescent="0.2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70"/>
      <c r="R26" s="70"/>
      <c r="S26" s="71"/>
    </row>
  </sheetData>
  <mergeCells count="2">
    <mergeCell ref="C7:D7"/>
    <mergeCell ref="E7:F7"/>
  </mergeCells>
  <hyperlinks>
    <hyperlink ref="H11" r:id="rId1" xr:uid="{38CFED33-FAF2-4D1B-BF46-029E3F21FE1A}"/>
    <hyperlink ref="R3" r:id="rId2" xr:uid="{B2C42E8B-DB53-426A-9BF5-AE1269BE8CCE}"/>
    <hyperlink ref="R4" r:id="rId3" xr:uid="{602AC203-610B-4186-80AE-4104AD8C00B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B9E1-C0AE-44EC-8948-0CB81B2E254A}">
  <dimension ref="A1:P33"/>
  <sheetViews>
    <sheetView topLeftCell="A2" workbookViewId="0">
      <selection activeCell="F28" sqref="F28"/>
    </sheetView>
  </sheetViews>
  <sheetFormatPr baseColWidth="10" defaultRowHeight="15" x14ac:dyDescent="0.25"/>
  <cols>
    <col min="1" max="1" width="5.28515625" customWidth="1"/>
    <col min="2" max="2" width="9.42578125" style="1" customWidth="1"/>
    <col min="3" max="3" width="5.28515625" style="1" customWidth="1"/>
    <col min="4" max="4" width="7.42578125" bestFit="1" customWidth="1"/>
    <col min="5" max="6" width="5.7109375" customWidth="1"/>
    <col min="7" max="8" width="9.140625" customWidth="1"/>
    <col min="10" max="10" width="11.42578125" customWidth="1"/>
    <col min="13" max="13" width="9.85546875" customWidth="1"/>
    <col min="14" max="14" width="5.140625" customWidth="1"/>
    <col min="15" max="32" width="3.5703125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15"/>
      <c r="P1" s="15"/>
    </row>
    <row r="2" spans="1:16" x14ac:dyDescent="0.25">
      <c r="A2" s="2"/>
      <c r="B2" s="29"/>
      <c r="C2" s="30"/>
      <c r="D2" s="31"/>
      <c r="E2" s="31"/>
      <c r="F2" s="31"/>
      <c r="G2" s="31"/>
      <c r="H2" s="31"/>
      <c r="I2" s="31"/>
      <c r="J2" s="31"/>
      <c r="K2" s="31"/>
      <c r="L2" s="31"/>
      <c r="M2" s="32"/>
      <c r="N2" s="2"/>
      <c r="O2" s="15"/>
      <c r="P2" s="15"/>
    </row>
    <row r="3" spans="1:16" x14ac:dyDescent="0.25">
      <c r="A3" s="2"/>
      <c r="B3" s="33"/>
      <c r="C3" s="34"/>
      <c r="D3" s="35"/>
      <c r="E3" s="35"/>
      <c r="F3" s="35"/>
      <c r="G3" s="35"/>
      <c r="H3" s="35"/>
      <c r="I3" s="35"/>
      <c r="J3" s="35"/>
      <c r="K3" s="35"/>
      <c r="L3" s="35"/>
      <c r="M3" s="36"/>
      <c r="N3" s="2"/>
      <c r="O3" s="15"/>
      <c r="P3" s="15"/>
    </row>
    <row r="4" spans="1:16" x14ac:dyDescent="0.25">
      <c r="A4" s="2"/>
      <c r="B4" s="33"/>
      <c r="C4" s="34"/>
      <c r="D4" s="35"/>
      <c r="E4" s="35"/>
      <c r="F4" s="35"/>
      <c r="G4" s="35"/>
      <c r="H4" s="35"/>
      <c r="I4" s="35"/>
      <c r="J4" s="35"/>
      <c r="K4" s="35"/>
      <c r="L4" s="35"/>
      <c r="M4" s="36"/>
      <c r="N4" s="2"/>
      <c r="O4" s="15"/>
      <c r="P4" s="15"/>
    </row>
    <row r="5" spans="1:16" x14ac:dyDescent="0.25">
      <c r="A5" s="2"/>
      <c r="B5" s="33"/>
      <c r="C5" s="34"/>
      <c r="D5" s="35"/>
      <c r="E5" s="35"/>
      <c r="F5" s="35"/>
      <c r="G5" s="35"/>
      <c r="H5" s="35"/>
      <c r="I5" s="35"/>
      <c r="J5" s="35"/>
      <c r="K5" s="35"/>
      <c r="L5" s="35"/>
      <c r="M5" s="36"/>
      <c r="N5" s="2"/>
      <c r="O5" s="15"/>
      <c r="P5" s="15"/>
    </row>
    <row r="6" spans="1:16" x14ac:dyDescent="0.25">
      <c r="A6" s="2"/>
      <c r="B6" s="33"/>
      <c r="C6" s="34"/>
      <c r="D6" s="35"/>
      <c r="E6" s="35"/>
      <c r="F6" s="35"/>
      <c r="G6" s="35"/>
      <c r="H6" s="35"/>
      <c r="I6" s="35"/>
      <c r="J6" s="35"/>
      <c r="K6" s="35"/>
      <c r="L6" s="35"/>
      <c r="M6" s="36"/>
      <c r="N6" s="2"/>
      <c r="O6" s="15"/>
      <c r="P6" s="15"/>
    </row>
    <row r="7" spans="1:16" x14ac:dyDescent="0.25">
      <c r="A7" s="2"/>
      <c r="B7" s="33"/>
      <c r="C7" s="34"/>
      <c r="D7" s="35"/>
      <c r="E7" s="35"/>
      <c r="F7" s="35"/>
      <c r="G7" s="35"/>
      <c r="H7" s="35"/>
      <c r="I7" s="35"/>
      <c r="J7" s="35"/>
      <c r="K7" s="35"/>
      <c r="L7" s="35"/>
      <c r="M7" s="36"/>
      <c r="N7" s="2"/>
      <c r="O7" s="15"/>
      <c r="P7" s="15"/>
    </row>
    <row r="8" spans="1:16" x14ac:dyDescent="0.25">
      <c r="A8" s="2"/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6"/>
      <c r="N8" s="2"/>
      <c r="O8" s="15"/>
      <c r="P8" s="15"/>
    </row>
    <row r="9" spans="1:16" x14ac:dyDescent="0.25">
      <c r="A9" s="2"/>
      <c r="B9" s="33"/>
      <c r="C9" s="34"/>
      <c r="D9" s="35"/>
      <c r="E9" s="35"/>
      <c r="F9" s="35"/>
      <c r="G9" s="35"/>
      <c r="H9" s="35"/>
      <c r="I9" s="35"/>
      <c r="J9" s="35"/>
      <c r="K9" s="35"/>
      <c r="L9" s="35"/>
      <c r="M9" s="36"/>
      <c r="N9" s="2"/>
      <c r="O9" s="15"/>
      <c r="P9" s="15"/>
    </row>
    <row r="10" spans="1:16" x14ac:dyDescent="0.25">
      <c r="A10" s="2"/>
      <c r="B10" s="33"/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6"/>
      <c r="N10" s="2"/>
      <c r="O10" s="15"/>
      <c r="P10" s="15"/>
    </row>
    <row r="11" spans="1:16" x14ac:dyDescent="0.25">
      <c r="A11" s="2"/>
      <c r="B11" s="33"/>
      <c r="C11" s="34"/>
      <c r="D11" s="35"/>
      <c r="E11" s="35"/>
      <c r="F11" s="35"/>
      <c r="G11" s="35"/>
      <c r="H11" s="35"/>
      <c r="I11" s="35"/>
      <c r="J11" s="35"/>
      <c r="K11" s="35"/>
      <c r="L11" s="35"/>
      <c r="M11" s="36"/>
      <c r="N11" s="2"/>
      <c r="O11" s="15"/>
      <c r="P11" s="15"/>
    </row>
    <row r="12" spans="1:16" x14ac:dyDescent="0.25">
      <c r="A12" s="2"/>
      <c r="B12" s="37"/>
      <c r="C12" s="38"/>
      <c r="D12" s="39"/>
      <c r="E12" s="39"/>
      <c r="F12" s="39"/>
      <c r="G12" s="39"/>
      <c r="H12" s="39"/>
      <c r="I12" s="39"/>
      <c r="J12" s="39"/>
      <c r="K12" s="39"/>
      <c r="L12" s="39"/>
      <c r="M12" s="40"/>
      <c r="N12" s="2"/>
      <c r="O12" s="15"/>
      <c r="P12" s="15"/>
    </row>
    <row r="13" spans="1:16" ht="7.5" customHeight="1" x14ac:dyDescent="0.25">
      <c r="A13" s="2"/>
      <c r="B13" s="9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5"/>
      <c r="P13" s="15"/>
    </row>
    <row r="14" spans="1:16" x14ac:dyDescent="0.25">
      <c r="A14" s="2"/>
      <c r="B14" s="27" t="s">
        <v>56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5"/>
      <c r="P14" s="15"/>
    </row>
    <row r="15" spans="1:16" x14ac:dyDescent="0.25">
      <c r="A15" s="2"/>
      <c r="B15" s="45"/>
      <c r="C15" s="46" t="s">
        <v>57</v>
      </c>
      <c r="D15" s="46" t="s">
        <v>63</v>
      </c>
      <c r="E15" s="46" t="s">
        <v>67</v>
      </c>
      <c r="F15" s="46" t="s">
        <v>57</v>
      </c>
      <c r="G15" s="46" t="s">
        <v>63</v>
      </c>
      <c r="H15" s="46" t="s">
        <v>67</v>
      </c>
      <c r="I15" s="2"/>
      <c r="J15" s="2"/>
      <c r="K15" s="2"/>
      <c r="L15" s="2"/>
      <c r="M15" s="2"/>
      <c r="N15" s="2"/>
      <c r="O15" s="15"/>
      <c r="P15" s="15"/>
    </row>
    <row r="16" spans="1:16" x14ac:dyDescent="0.25">
      <c r="A16" s="2"/>
      <c r="B16" s="46" t="s">
        <v>59</v>
      </c>
      <c r="C16" s="42">
        <v>4</v>
      </c>
      <c r="D16" s="42">
        <v>2</v>
      </c>
      <c r="E16" s="42">
        <v>4</v>
      </c>
      <c r="F16" s="43">
        <f t="shared" ref="F16:F18" si="0">C16/C$23</f>
        <v>0.76190476190476186</v>
      </c>
      <c r="G16" s="43">
        <f t="shared" ref="G16:G18" si="1">D16/D$23</f>
        <v>0.58333333333333337</v>
      </c>
      <c r="H16" s="43">
        <f t="shared" ref="H16:H18" si="2">E16/E$23</f>
        <v>0.63157894736842113</v>
      </c>
      <c r="I16" s="2"/>
      <c r="J16" s="2"/>
      <c r="K16" s="2"/>
      <c r="L16" s="2"/>
      <c r="M16" s="2"/>
      <c r="N16" s="2"/>
      <c r="O16" s="15"/>
      <c r="P16" s="15"/>
    </row>
    <row r="17" spans="1:16" x14ac:dyDescent="0.25">
      <c r="A17" s="2"/>
      <c r="B17" s="46" t="s">
        <v>60</v>
      </c>
      <c r="C17" s="42">
        <v>6</v>
      </c>
      <c r="D17" s="42">
        <v>1</v>
      </c>
      <c r="E17" s="42">
        <v>7</v>
      </c>
      <c r="F17" s="43">
        <f t="shared" si="0"/>
        <v>1.1428571428571428</v>
      </c>
      <c r="G17" s="43">
        <f t="shared" si="1"/>
        <v>0.29166666666666669</v>
      </c>
      <c r="H17" s="43">
        <f t="shared" si="2"/>
        <v>1.1052631578947369</v>
      </c>
      <c r="I17" s="2"/>
      <c r="J17" s="2"/>
      <c r="K17" s="2"/>
      <c r="L17" s="2"/>
      <c r="M17" s="2"/>
      <c r="N17" s="2"/>
      <c r="O17" s="15"/>
      <c r="P17" s="15"/>
    </row>
    <row r="18" spans="1:16" x14ac:dyDescent="0.25">
      <c r="A18" s="2"/>
      <c r="B18" s="46" t="s">
        <v>61</v>
      </c>
      <c r="C18" s="42">
        <v>7</v>
      </c>
      <c r="D18" s="42">
        <v>2</v>
      </c>
      <c r="E18" s="42">
        <v>8</v>
      </c>
      <c r="F18" s="43">
        <f t="shared" si="0"/>
        <v>1.3333333333333333</v>
      </c>
      <c r="G18" s="43">
        <f t="shared" si="1"/>
        <v>0.58333333333333337</v>
      </c>
      <c r="H18" s="43">
        <f t="shared" si="2"/>
        <v>1.2631578947368423</v>
      </c>
      <c r="I18" s="2"/>
      <c r="J18" s="2"/>
      <c r="K18" s="2"/>
      <c r="L18" s="2"/>
      <c r="M18" s="2"/>
      <c r="N18" s="2"/>
      <c r="O18" s="15"/>
      <c r="P18" s="15"/>
    </row>
    <row r="19" spans="1:16" x14ac:dyDescent="0.25">
      <c r="A19" s="2"/>
      <c r="B19" s="46" t="s">
        <v>62</v>
      </c>
      <c r="C19" s="42">
        <v>4</v>
      </c>
      <c r="D19" s="42">
        <v>4</v>
      </c>
      <c r="E19" s="44"/>
      <c r="F19" s="43">
        <f>IF(C19="","",C19/C$23)</f>
        <v>0.76190476190476186</v>
      </c>
      <c r="G19" s="43">
        <f t="shared" ref="G19:H23" si="3">IF(D19="","",D19/D$23)</f>
        <v>1.1666666666666667</v>
      </c>
      <c r="H19" s="43" t="str">
        <f t="shared" si="3"/>
        <v/>
      </c>
      <c r="I19" s="2"/>
      <c r="J19" s="2"/>
      <c r="K19" s="2"/>
      <c r="L19" s="2"/>
      <c r="M19" s="2"/>
      <c r="N19" s="2"/>
      <c r="O19" s="15"/>
      <c r="P19" s="15"/>
    </row>
    <row r="20" spans="1:16" x14ac:dyDescent="0.25">
      <c r="A20" s="2"/>
      <c r="B20" s="46" t="s">
        <v>64</v>
      </c>
      <c r="C20" s="42"/>
      <c r="D20" s="42">
        <v>5</v>
      </c>
      <c r="E20" s="44"/>
      <c r="F20" s="43" t="str">
        <f t="shared" ref="F20:F23" si="4">IF(C20="","",C20/C$23)</f>
        <v/>
      </c>
      <c r="G20" s="43">
        <f t="shared" si="3"/>
        <v>1.4583333333333335</v>
      </c>
      <c r="H20" s="43" t="str">
        <f t="shared" si="3"/>
        <v/>
      </c>
      <c r="I20" s="2"/>
      <c r="J20" s="2"/>
      <c r="K20" s="2"/>
      <c r="L20" s="2"/>
      <c r="M20" s="2"/>
      <c r="N20" s="2"/>
      <c r="O20" s="15"/>
      <c r="P20" s="15"/>
    </row>
    <row r="21" spans="1:16" x14ac:dyDescent="0.25">
      <c r="A21" s="2"/>
      <c r="B21" s="46" t="s">
        <v>65</v>
      </c>
      <c r="C21" s="42"/>
      <c r="D21" s="42">
        <v>6</v>
      </c>
      <c r="E21" s="44"/>
      <c r="F21" s="43" t="str">
        <f t="shared" si="4"/>
        <v/>
      </c>
      <c r="G21" s="43">
        <f t="shared" si="3"/>
        <v>1.75</v>
      </c>
      <c r="H21" s="43" t="str">
        <f t="shared" si="3"/>
        <v/>
      </c>
      <c r="I21" s="2"/>
      <c r="J21" s="2"/>
      <c r="K21" s="2"/>
      <c r="L21" s="2"/>
      <c r="M21" s="2"/>
      <c r="N21" s="2"/>
      <c r="O21" s="15"/>
      <c r="P21" s="15"/>
    </row>
    <row r="22" spans="1:16" x14ac:dyDescent="0.25">
      <c r="A22" s="2"/>
      <c r="B22" s="46" t="s">
        <v>66</v>
      </c>
      <c r="C22" s="42"/>
      <c r="D22" s="42">
        <v>4</v>
      </c>
      <c r="E22" s="44"/>
      <c r="F22" s="43" t="str">
        <f t="shared" si="4"/>
        <v/>
      </c>
      <c r="G22" s="43">
        <f t="shared" si="3"/>
        <v>1.1666666666666667</v>
      </c>
      <c r="H22" s="43" t="str">
        <f t="shared" si="3"/>
        <v/>
      </c>
      <c r="I22" s="2"/>
      <c r="J22" s="2"/>
      <c r="K22" s="2"/>
      <c r="L22" s="2"/>
      <c r="M22" s="2"/>
      <c r="N22" s="2"/>
      <c r="O22" s="15"/>
      <c r="P22" s="15"/>
    </row>
    <row r="23" spans="1:16" x14ac:dyDescent="0.25">
      <c r="A23" s="2"/>
      <c r="B23" s="46" t="s">
        <v>58</v>
      </c>
      <c r="C23" s="42">
        <f>AVERAGE(C16:C22)</f>
        <v>5.25</v>
      </c>
      <c r="D23" s="42">
        <f t="shared" ref="D23:E23" si="5">AVERAGE(D16:D22)</f>
        <v>3.4285714285714284</v>
      </c>
      <c r="E23" s="42">
        <f t="shared" si="5"/>
        <v>6.333333333333333</v>
      </c>
      <c r="F23" s="43">
        <f t="shared" si="4"/>
        <v>1</v>
      </c>
      <c r="G23" s="43">
        <f t="shared" si="3"/>
        <v>1</v>
      </c>
      <c r="H23" s="43">
        <f t="shared" si="3"/>
        <v>1</v>
      </c>
      <c r="I23" s="2"/>
      <c r="J23" s="2"/>
      <c r="K23" s="2"/>
      <c r="L23" s="2"/>
      <c r="M23" s="2"/>
      <c r="N23" s="2"/>
      <c r="O23" s="17"/>
      <c r="P23" s="15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7"/>
      <c r="P24" s="15"/>
    </row>
    <row r="25" spans="1:1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28"/>
    </row>
    <row r="26" spans="1:16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28"/>
    </row>
    <row r="27" spans="1:16" x14ac:dyDescent="0.25">
      <c r="A27" s="15"/>
      <c r="B27" s="16"/>
      <c r="C27" s="16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8" spans="1:16" x14ac:dyDescent="0.25">
      <c r="A28" s="15"/>
      <c r="B28" s="16"/>
      <c r="C28" s="16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</row>
    <row r="29" spans="1:16" x14ac:dyDescent="0.25">
      <c r="A29" s="15"/>
      <c r="B29" s="16"/>
      <c r="C29" s="16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6" x14ac:dyDescent="0.25">
      <c r="A30" s="15"/>
      <c r="B30" s="16"/>
      <c r="C30" s="16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6" x14ac:dyDescent="0.25">
      <c r="A31" s="15"/>
      <c r="B31" s="16"/>
      <c r="C31" s="16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</row>
    <row r="32" spans="1:16" x14ac:dyDescent="0.25">
      <c r="A32" s="15"/>
      <c r="B32" s="16"/>
      <c r="C32" s="16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</row>
    <row r="33" spans="1:15" x14ac:dyDescent="0.25">
      <c r="A33" s="15"/>
      <c r="B33" s="16"/>
      <c r="C33" s="16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</sheetData>
  <sortState xmlns:xlrd2="http://schemas.microsoft.com/office/spreadsheetml/2017/richdata2" ref="C4:D22">
    <sortCondition ref="C4:C22"/>
  </sortState>
  <phoneticPr fontId="2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74AF-8949-4B24-B354-B85A9C006942}">
  <dimension ref="A1:AF43"/>
  <sheetViews>
    <sheetView showGridLines="0" showRowColHeaders="0" zoomScale="84" zoomScaleNormal="84" workbookViewId="0">
      <selection activeCell="N11" sqref="N11"/>
    </sheetView>
  </sheetViews>
  <sheetFormatPr baseColWidth="10" defaultRowHeight="15" x14ac:dyDescent="0.25"/>
  <cols>
    <col min="1" max="1" width="2.42578125" customWidth="1"/>
    <col min="2" max="2" width="25.140625" customWidth="1"/>
    <col min="3" max="4" width="11.5703125" style="1" customWidth="1"/>
    <col min="5" max="5" width="2.85546875" customWidth="1"/>
    <col min="6" max="6" width="5" style="1" bestFit="1" customWidth="1"/>
    <col min="7" max="7" width="5.42578125" style="1" bestFit="1" customWidth="1"/>
    <col min="8" max="8" width="7.85546875" style="1" customWidth="1"/>
    <col min="9" max="9" width="6.85546875" style="1" customWidth="1"/>
    <col min="10" max="10" width="8" style="1" customWidth="1"/>
    <col min="11" max="11" width="5.5703125" style="1" customWidth="1"/>
    <col min="12" max="12" width="7" style="1" customWidth="1"/>
    <col min="13" max="13" width="8.42578125" style="1" bestFit="1" customWidth="1"/>
    <col min="14" max="14" width="8.140625" style="1" bestFit="1" customWidth="1"/>
    <col min="15" max="15" width="6.7109375" style="1" customWidth="1"/>
    <col min="16" max="16" width="7.28515625" style="1" bestFit="1" customWidth="1"/>
    <col min="17" max="17" width="5.5703125" style="1" bestFit="1" customWidth="1"/>
    <col min="18" max="19" width="5.5703125" style="1" customWidth="1"/>
    <col min="20" max="20" width="3.7109375" style="1" customWidth="1"/>
    <col min="21" max="25" width="6.28515625" customWidth="1"/>
  </cols>
  <sheetData>
    <row r="1" spans="1:32" x14ac:dyDescent="0.25">
      <c r="A1" s="2"/>
      <c r="B1" s="2"/>
      <c r="C1" s="9"/>
      <c r="D1" s="9"/>
      <c r="E1" s="2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32" ht="121.5" x14ac:dyDescent="0.25">
      <c r="A2" s="2"/>
      <c r="B2" s="2"/>
      <c r="C2" s="9"/>
      <c r="D2" s="9"/>
      <c r="E2" s="2"/>
      <c r="F2" s="47" t="s">
        <v>1</v>
      </c>
      <c r="G2" s="48" t="s">
        <v>6</v>
      </c>
      <c r="H2" s="49" t="s">
        <v>17</v>
      </c>
      <c r="I2" s="49" t="s">
        <v>15</v>
      </c>
      <c r="J2" s="49" t="s">
        <v>16</v>
      </c>
      <c r="K2" s="49" t="s">
        <v>18</v>
      </c>
      <c r="L2" s="49" t="s">
        <v>19</v>
      </c>
      <c r="M2" s="50" t="s">
        <v>9</v>
      </c>
      <c r="N2" s="50" t="s">
        <v>10</v>
      </c>
      <c r="O2" s="49" t="s">
        <v>12</v>
      </c>
      <c r="P2" s="49" t="s">
        <v>13</v>
      </c>
      <c r="Q2" s="49" t="s">
        <v>14</v>
      </c>
      <c r="R2" s="49" t="s">
        <v>70</v>
      </c>
      <c r="S2" s="49" t="s">
        <v>68</v>
      </c>
      <c r="T2" s="9"/>
    </row>
    <row r="3" spans="1:32" x14ac:dyDescent="0.25">
      <c r="A3" s="2"/>
      <c r="B3" s="81" t="s">
        <v>11</v>
      </c>
      <c r="C3" s="82">
        <v>2016</v>
      </c>
      <c r="D3" s="83">
        <v>2018</v>
      </c>
      <c r="E3" s="2"/>
      <c r="F3" s="51">
        <v>2010</v>
      </c>
      <c r="G3" s="52">
        <v>13.5</v>
      </c>
      <c r="H3" s="53">
        <f>I3*G3</f>
        <v>642553.19148936169</v>
      </c>
      <c r="I3" s="53">
        <f>J3/G3</f>
        <v>47596.532702915683</v>
      </c>
      <c r="J3" s="54">
        <f>N3*1000000/M3</f>
        <v>642553.19148936169</v>
      </c>
      <c r="K3" s="53">
        <f t="shared" ref="K3:K10" si="0">I3/$D$8</f>
        <v>1399.8980206739907</v>
      </c>
      <c r="L3" s="53">
        <f>K3*G3</f>
        <v>18898.623279098872</v>
      </c>
      <c r="M3" s="55">
        <v>235</v>
      </c>
      <c r="N3" s="55">
        <v>151</v>
      </c>
      <c r="O3" s="56">
        <f>AVERAGE(O4:O9)</f>
        <v>1.6918961369679391E-2</v>
      </c>
      <c r="P3" s="56">
        <f>AVERAGE(P4:P9)</f>
        <v>9.1152191605627254E-3</v>
      </c>
      <c r="Q3" s="56">
        <f>AVERAGE(Q4:Q9)</f>
        <v>3.2056728636858989E-2</v>
      </c>
      <c r="R3" s="56"/>
      <c r="S3" s="56"/>
      <c r="T3" s="9"/>
    </row>
    <row r="4" spans="1:32" x14ac:dyDescent="0.25">
      <c r="A4" s="2"/>
      <c r="B4" s="80" t="s">
        <v>10</v>
      </c>
      <c r="C4" s="13">
        <f>N9</f>
        <v>182.1</v>
      </c>
      <c r="D4" s="13">
        <f>N11</f>
        <v>185</v>
      </c>
      <c r="E4" s="2"/>
      <c r="F4" s="51">
        <v>2011</v>
      </c>
      <c r="G4" s="52">
        <v>13.5</v>
      </c>
      <c r="H4" s="53">
        <f>I4*G4</f>
        <v>638297.8723404255</v>
      </c>
      <c r="I4" s="53">
        <f>J4/G4</f>
        <v>47281.323877068557</v>
      </c>
      <c r="J4" s="54">
        <f>N4*1000000/M4</f>
        <v>638297.8723404255</v>
      </c>
      <c r="K4" s="53">
        <f t="shared" si="0"/>
        <v>1390.6271728549575</v>
      </c>
      <c r="L4" s="53">
        <f>K4*G4</f>
        <v>18773.466833541926</v>
      </c>
      <c r="M4" s="55">
        <v>235</v>
      </c>
      <c r="N4" s="55">
        <v>150</v>
      </c>
      <c r="O4" s="56">
        <f t="shared" ref="O4:O12" si="1">(I4-I3)/I3</f>
        <v>-6.6225165562914532E-3</v>
      </c>
      <c r="P4" s="56">
        <f t="shared" ref="P4:P12" si="2">(M4-M3)/M3</f>
        <v>0</v>
      </c>
      <c r="Q4" s="56">
        <f t="shared" ref="Q4:Q11" si="3">(N4-N3)/N3</f>
        <v>-6.6225165562913907E-3</v>
      </c>
      <c r="R4" s="56">
        <f>AVERAGE(Q3:Q5)</f>
        <v>8.4780706935225335E-3</v>
      </c>
      <c r="S4" s="56"/>
      <c r="T4" s="9"/>
    </row>
    <row r="5" spans="1:32" x14ac:dyDescent="0.25">
      <c r="A5" s="2"/>
      <c r="B5" s="10" t="s">
        <v>86</v>
      </c>
      <c r="C5" s="13">
        <f>M9</f>
        <v>248</v>
      </c>
      <c r="D5" s="13">
        <f>M11</f>
        <v>250</v>
      </c>
      <c r="E5" s="2"/>
      <c r="F5" s="51">
        <v>2012</v>
      </c>
      <c r="G5" s="52">
        <v>13.5</v>
      </c>
      <c r="H5" s="53">
        <f t="shared" ref="H5:H12" si="4">I5*G5</f>
        <v>614754.09836065571</v>
      </c>
      <c r="I5" s="53">
        <f t="shared" ref="I5:I12" si="5">J5/G5</f>
        <v>45537.340619307834</v>
      </c>
      <c r="J5" s="54">
        <f t="shared" ref="J5:J12" si="6">N5*1000000/M5</f>
        <v>614754.09836065571</v>
      </c>
      <c r="K5" s="53">
        <f t="shared" si="0"/>
        <v>1339.3335476267009</v>
      </c>
      <c r="L5" s="53">
        <f>K5*G5</f>
        <v>18081.002892960463</v>
      </c>
      <c r="M5" s="55">
        <v>244</v>
      </c>
      <c r="N5" s="57">
        <v>150</v>
      </c>
      <c r="O5" s="56">
        <f t="shared" si="1"/>
        <v>-3.6885245901639295E-2</v>
      </c>
      <c r="P5" s="56">
        <f t="shared" si="2"/>
        <v>3.8297872340425532E-2</v>
      </c>
      <c r="Q5" s="56">
        <f t="shared" si="3"/>
        <v>0</v>
      </c>
      <c r="R5" s="56">
        <f t="shared" ref="R5:R11" si="7">AVERAGE(Q4:Q6)</f>
        <v>1.5570272259013982E-2</v>
      </c>
      <c r="S5" s="56"/>
      <c r="T5" s="9"/>
    </row>
    <row r="6" spans="1:32" x14ac:dyDescent="0.25">
      <c r="A6" s="2"/>
      <c r="B6" s="10" t="s">
        <v>85</v>
      </c>
      <c r="C6" s="12">
        <f>C5/4.8</f>
        <v>51.666666666666671</v>
      </c>
      <c r="D6" s="12">
        <f>D5/4.8</f>
        <v>52.083333333333336</v>
      </c>
      <c r="E6" s="2"/>
      <c r="F6" s="51">
        <v>2013</v>
      </c>
      <c r="G6" s="52">
        <v>13.5</v>
      </c>
      <c r="H6" s="53">
        <f t="shared" si="4"/>
        <v>637096.77419354836</v>
      </c>
      <c r="I6" s="53">
        <f t="shared" si="5"/>
        <v>47192.353643966548</v>
      </c>
      <c r="J6" s="54">
        <f t="shared" si="6"/>
        <v>637096.77419354836</v>
      </c>
      <c r="K6" s="53">
        <f t="shared" si="0"/>
        <v>1388.0104012931338</v>
      </c>
      <c r="L6" s="53">
        <f t="shared" ref="L6:L11" si="8">K6*G6</f>
        <v>18738.140417457307</v>
      </c>
      <c r="M6" s="55">
        <v>248</v>
      </c>
      <c r="N6" s="57">
        <v>158</v>
      </c>
      <c r="O6" s="56">
        <f t="shared" si="1"/>
        <v>3.6344086021505365E-2</v>
      </c>
      <c r="P6" s="56">
        <f t="shared" si="2"/>
        <v>1.6393442622950821E-2</v>
      </c>
      <c r="Q6" s="56">
        <f t="shared" si="3"/>
        <v>5.3333333333333337E-2</v>
      </c>
      <c r="R6" s="56">
        <f t="shared" si="7"/>
        <v>3.2545710267229251E-2</v>
      </c>
      <c r="S6" s="56"/>
      <c r="T6" s="9"/>
    </row>
    <row r="7" spans="1:32" x14ac:dyDescent="0.25">
      <c r="A7" s="2"/>
      <c r="B7" s="10" t="s">
        <v>8</v>
      </c>
      <c r="C7" s="12">
        <f>I9</f>
        <v>52448.156682027657</v>
      </c>
      <c r="D7" s="12">
        <f>I11</f>
        <v>52857.142857142855</v>
      </c>
      <c r="E7" s="2"/>
      <c r="F7" s="51">
        <v>2014</v>
      </c>
      <c r="G7" s="52">
        <v>13.5</v>
      </c>
      <c r="H7" s="53">
        <f t="shared" si="4"/>
        <v>665322.58064516133</v>
      </c>
      <c r="I7" s="53">
        <f t="shared" si="5"/>
        <v>49283.154121863801</v>
      </c>
      <c r="J7" s="54">
        <f t="shared" si="6"/>
        <v>665322.58064516133</v>
      </c>
      <c r="K7" s="53">
        <f t="shared" si="0"/>
        <v>1449.5045329959942</v>
      </c>
      <c r="L7" s="53">
        <f t="shared" si="8"/>
        <v>19568.31119544592</v>
      </c>
      <c r="M7" s="55">
        <v>248</v>
      </c>
      <c r="N7" s="57">
        <v>165</v>
      </c>
      <c r="O7" s="56">
        <f t="shared" si="1"/>
        <v>4.4303797468354458E-2</v>
      </c>
      <c r="P7" s="56">
        <f t="shared" si="2"/>
        <v>0</v>
      </c>
      <c r="Q7" s="56">
        <f t="shared" si="3"/>
        <v>4.4303797468354431E-2</v>
      </c>
      <c r="R7" s="56">
        <f t="shared" si="7"/>
        <v>5.4767932489451478E-2</v>
      </c>
      <c r="S7" s="56"/>
      <c r="T7" s="9"/>
    </row>
    <row r="8" spans="1:32" x14ac:dyDescent="0.25">
      <c r="A8" s="2"/>
      <c r="B8" s="10" t="s">
        <v>7</v>
      </c>
      <c r="C8" s="14">
        <v>34</v>
      </c>
      <c r="D8" s="14">
        <v>34</v>
      </c>
      <c r="E8" s="2"/>
      <c r="F8" s="51">
        <v>2015</v>
      </c>
      <c r="G8" s="52">
        <v>13.5</v>
      </c>
      <c r="H8" s="53">
        <f t="shared" si="4"/>
        <v>709677.41935483867</v>
      </c>
      <c r="I8" s="53">
        <f t="shared" si="5"/>
        <v>52568.697729988053</v>
      </c>
      <c r="J8" s="54">
        <f t="shared" si="6"/>
        <v>709677.41935483867</v>
      </c>
      <c r="K8" s="53">
        <f t="shared" si="0"/>
        <v>1546.1381685290603</v>
      </c>
      <c r="L8" s="53">
        <f t="shared" si="8"/>
        <v>20872.865275142314</v>
      </c>
      <c r="M8" s="55">
        <v>248</v>
      </c>
      <c r="N8" s="57">
        <v>176</v>
      </c>
      <c r="O8" s="56">
        <f t="shared" si="1"/>
        <v>6.6666666666666624E-2</v>
      </c>
      <c r="P8" s="56">
        <f t="shared" si="2"/>
        <v>0</v>
      </c>
      <c r="Q8" s="56">
        <f t="shared" si="3"/>
        <v>6.6666666666666666E-2</v>
      </c>
      <c r="R8" s="56">
        <f t="shared" si="7"/>
        <v>4.8543185014703984E-2</v>
      </c>
      <c r="S8" s="56"/>
      <c r="T8" s="9"/>
    </row>
    <row r="9" spans="1:32" x14ac:dyDescent="0.25">
      <c r="A9" s="2"/>
      <c r="B9" s="10" t="s">
        <v>82</v>
      </c>
      <c r="C9" s="11">
        <f>K9</f>
        <v>1542.5928435890487</v>
      </c>
      <c r="D9" s="11">
        <f>K11</f>
        <v>1554.6218487394958</v>
      </c>
      <c r="E9" s="2"/>
      <c r="F9" s="51">
        <v>2016</v>
      </c>
      <c r="G9" s="52">
        <v>14</v>
      </c>
      <c r="H9" s="53">
        <f t="shared" si="4"/>
        <v>734274.19354838715</v>
      </c>
      <c r="I9" s="53">
        <f t="shared" si="5"/>
        <v>52448.156682027657</v>
      </c>
      <c r="J9" s="54">
        <f t="shared" si="6"/>
        <v>734274.19354838715</v>
      </c>
      <c r="K9" s="53">
        <f t="shared" si="0"/>
        <v>1542.5928435890487</v>
      </c>
      <c r="L9" s="53">
        <f t="shared" si="8"/>
        <v>21596.299810246681</v>
      </c>
      <c r="M9" s="58">
        <v>248</v>
      </c>
      <c r="N9" s="57">
        <v>182.1</v>
      </c>
      <c r="O9" s="56">
        <f t="shared" si="1"/>
        <v>-2.2930194805193529E-3</v>
      </c>
      <c r="P9" s="56">
        <f t="shared" si="2"/>
        <v>0</v>
      </c>
      <c r="Q9" s="56">
        <f t="shared" si="3"/>
        <v>3.4659090909090876E-2</v>
      </c>
      <c r="R9" s="56">
        <f t="shared" si="7"/>
        <v>3.1761706854375717E-2</v>
      </c>
      <c r="S9" s="56"/>
      <c r="T9" s="9"/>
    </row>
    <row r="10" spans="1:32" s="1" customFormat="1" x14ac:dyDescent="0.25">
      <c r="A10" s="2"/>
      <c r="B10" s="10" t="s">
        <v>20</v>
      </c>
      <c r="C10" s="14">
        <f>G9</f>
        <v>14</v>
      </c>
      <c r="D10" s="14">
        <f>G11</f>
        <v>14</v>
      </c>
      <c r="E10" s="2"/>
      <c r="F10" s="51">
        <v>2017</v>
      </c>
      <c r="G10" s="52">
        <v>14</v>
      </c>
      <c r="H10" s="53">
        <f t="shared" si="4"/>
        <v>726907.63052208838</v>
      </c>
      <c r="I10" s="53">
        <f t="shared" si="5"/>
        <v>51921.973608720597</v>
      </c>
      <c r="J10" s="54">
        <f t="shared" si="6"/>
        <v>726907.63052208838</v>
      </c>
      <c r="K10" s="53">
        <f t="shared" si="0"/>
        <v>1527.1168708447235</v>
      </c>
      <c r="L10" s="53">
        <f t="shared" si="8"/>
        <v>21379.636191826128</v>
      </c>
      <c r="M10" s="58">
        <v>249</v>
      </c>
      <c r="N10" s="57">
        <v>181</v>
      </c>
      <c r="O10" s="56">
        <f t="shared" si="1"/>
        <v>-1.0032441683262562E-2</v>
      </c>
      <c r="P10" s="56">
        <f t="shared" si="2"/>
        <v>4.0322580645161289E-3</v>
      </c>
      <c r="Q10" s="56">
        <f t="shared" si="3"/>
        <v>-6.0406370126303921E-3</v>
      </c>
      <c r="R10" s="56">
        <f t="shared" si="7"/>
        <v>1.6905967136757547E-2</v>
      </c>
      <c r="S10" s="56"/>
      <c r="T10" s="9"/>
      <c r="U10"/>
      <c r="V10"/>
      <c r="W10"/>
      <c r="X10"/>
      <c r="Y10"/>
      <c r="Z10"/>
      <c r="AA10"/>
      <c r="AB10"/>
      <c r="AC10"/>
      <c r="AD10"/>
      <c r="AE10"/>
      <c r="AF10"/>
    </row>
    <row r="11" spans="1:32" s="1" customFormat="1" x14ac:dyDescent="0.25">
      <c r="A11" s="2"/>
      <c r="B11" s="10" t="s">
        <v>17</v>
      </c>
      <c r="C11" s="6">
        <f>H9</f>
        <v>734274.19354838715</v>
      </c>
      <c r="D11" s="6">
        <f>H11</f>
        <v>740000</v>
      </c>
      <c r="E11" s="2"/>
      <c r="F11" s="51">
        <v>2018</v>
      </c>
      <c r="G11" s="52">
        <v>14</v>
      </c>
      <c r="H11" s="53">
        <f t="shared" si="4"/>
        <v>740000</v>
      </c>
      <c r="I11" s="53">
        <f t="shared" si="5"/>
        <v>52857.142857142855</v>
      </c>
      <c r="J11" s="54">
        <f t="shared" si="6"/>
        <v>740000</v>
      </c>
      <c r="K11" s="53">
        <f>I11/$D$8</f>
        <v>1554.6218487394958</v>
      </c>
      <c r="L11" s="53">
        <f t="shared" si="8"/>
        <v>21764.705882352941</v>
      </c>
      <c r="M11" s="57">
        <v>250</v>
      </c>
      <c r="N11" s="59">
        <v>185</v>
      </c>
      <c r="O11" s="56">
        <f t="shared" si="1"/>
        <v>1.8011049723756868E-2</v>
      </c>
      <c r="P11" s="56">
        <f t="shared" si="2"/>
        <v>4.0160642570281121E-3</v>
      </c>
      <c r="Q11" s="56">
        <f t="shared" si="3"/>
        <v>2.2099447513812154E-2</v>
      </c>
      <c r="R11" s="56">
        <f t="shared" si="7"/>
        <v>8.0294052505908813E-3</v>
      </c>
      <c r="S11" s="56"/>
      <c r="T11" s="9"/>
      <c r="U11"/>
      <c r="V11"/>
      <c r="W11"/>
      <c r="X11"/>
      <c r="Y11"/>
      <c r="Z11"/>
      <c r="AA11"/>
      <c r="AB11"/>
      <c r="AC11"/>
      <c r="AD11"/>
      <c r="AE11"/>
      <c r="AF11"/>
    </row>
    <row r="12" spans="1:32" s="1" customFormat="1" x14ac:dyDescent="0.25">
      <c r="A12" s="2"/>
      <c r="B12" s="7" t="s">
        <v>47</v>
      </c>
      <c r="C12" s="6">
        <f>C16*C10/C17</f>
        <v>90.704459203036066</v>
      </c>
      <c r="D12" s="6">
        <f>D16*D10/D17</f>
        <v>91.411764705882362</v>
      </c>
      <c r="E12" s="2"/>
      <c r="F12" s="51">
        <v>2019</v>
      </c>
      <c r="G12" s="52">
        <v>14</v>
      </c>
      <c r="H12" s="53">
        <f t="shared" si="4"/>
        <v>740000</v>
      </c>
      <c r="I12" s="53">
        <f t="shared" si="5"/>
        <v>52857.142857142855</v>
      </c>
      <c r="J12" s="54">
        <f t="shared" si="6"/>
        <v>740000</v>
      </c>
      <c r="K12" s="53">
        <f>I12/$D$8</f>
        <v>1554.6218487394958</v>
      </c>
      <c r="L12" s="53">
        <f>K12*G12</f>
        <v>21764.705882352941</v>
      </c>
      <c r="M12" s="57">
        <v>250</v>
      </c>
      <c r="N12" s="57">
        <f>N11</f>
        <v>185</v>
      </c>
      <c r="O12" s="56">
        <f t="shared" si="1"/>
        <v>0</v>
      </c>
      <c r="P12" s="56">
        <f t="shared" si="2"/>
        <v>0</v>
      </c>
      <c r="Q12" s="47"/>
      <c r="R12" s="47"/>
      <c r="S12" s="60">
        <v>0.01</v>
      </c>
      <c r="T12" s="9"/>
      <c r="U12"/>
      <c r="V12"/>
      <c r="W12"/>
      <c r="X12"/>
      <c r="Y12"/>
      <c r="Z12"/>
      <c r="AA12"/>
      <c r="AB12"/>
      <c r="AC12"/>
      <c r="AD12"/>
      <c r="AE12"/>
      <c r="AF12"/>
    </row>
    <row r="13" spans="1:32" s="1" customFormat="1" x14ac:dyDescent="0.25">
      <c r="A13" s="2"/>
      <c r="B13" s="7" t="s">
        <v>3</v>
      </c>
      <c r="C13" s="6">
        <f>C11/C17</f>
        <v>2937.0967741935488</v>
      </c>
      <c r="D13" s="6">
        <f>D11/D17</f>
        <v>2960</v>
      </c>
      <c r="E13" s="2"/>
      <c r="F13" s="51">
        <v>2020</v>
      </c>
      <c r="G13" s="53"/>
      <c r="H13" s="53"/>
      <c r="I13" s="57"/>
      <c r="J13" s="57"/>
      <c r="K13" s="57"/>
      <c r="L13" s="53"/>
      <c r="M13" s="57"/>
      <c r="N13" s="57"/>
      <c r="O13" s="57"/>
      <c r="P13" s="60">
        <f>P12</f>
        <v>0</v>
      </c>
      <c r="Q13" s="47"/>
      <c r="R13" s="47"/>
      <c r="S13" s="60">
        <v>1.4999999999999999E-2</v>
      </c>
      <c r="T13" s="9"/>
      <c r="U13"/>
      <c r="V13"/>
      <c r="W13"/>
      <c r="X13"/>
      <c r="Y13"/>
      <c r="Z13"/>
      <c r="AA13"/>
      <c r="AB13"/>
      <c r="AC13"/>
      <c r="AD13"/>
      <c r="AE13"/>
      <c r="AF13"/>
    </row>
    <row r="14" spans="1:32" s="1" customFormat="1" x14ac:dyDescent="0.25">
      <c r="A14" s="2"/>
      <c r="B14" s="5" t="s">
        <v>81</v>
      </c>
      <c r="C14" s="4">
        <f>C12/C18</f>
        <v>12.957779886148009</v>
      </c>
      <c r="D14" s="4">
        <f>D12/D18</f>
        <v>13.058823529411766</v>
      </c>
      <c r="E14" s="2"/>
      <c r="F14" s="51">
        <v>2021</v>
      </c>
      <c r="G14" s="53"/>
      <c r="H14" s="53"/>
      <c r="I14" s="57"/>
      <c r="J14" s="57"/>
      <c r="K14" s="57"/>
      <c r="L14" s="53"/>
      <c r="M14" s="57"/>
      <c r="N14" s="57"/>
      <c r="O14" s="57"/>
      <c r="P14" s="60">
        <f t="shared" ref="P14:P17" si="9">P13</f>
        <v>0</v>
      </c>
      <c r="Q14" s="47"/>
      <c r="R14" s="47"/>
      <c r="S14" s="60">
        <v>2.2499999999999999E-2</v>
      </c>
      <c r="T14" s="9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1" customFormat="1" x14ac:dyDescent="0.25">
      <c r="A15" s="2"/>
      <c r="B15" t="s">
        <v>5</v>
      </c>
      <c r="C15" s="9"/>
      <c r="D15" s="9"/>
      <c r="E15" s="2"/>
      <c r="F15" s="51">
        <v>2022</v>
      </c>
      <c r="G15" s="53"/>
      <c r="H15" s="53"/>
      <c r="I15" s="57"/>
      <c r="J15" s="57"/>
      <c r="K15" s="57"/>
      <c r="L15" s="53"/>
      <c r="M15" s="57"/>
      <c r="N15" s="57"/>
      <c r="O15" s="57"/>
      <c r="P15" s="60">
        <f t="shared" si="9"/>
        <v>0</v>
      </c>
      <c r="Q15" s="47"/>
      <c r="R15" s="47"/>
      <c r="S15" s="60">
        <v>3.2500000000000001E-2</v>
      </c>
      <c r="T15" s="9"/>
      <c r="U15"/>
      <c r="V15"/>
      <c r="W15"/>
      <c r="X15"/>
      <c r="Y15"/>
      <c r="Z15"/>
      <c r="AA15"/>
      <c r="AB15"/>
      <c r="AC15"/>
      <c r="AD15"/>
      <c r="AE15"/>
      <c r="AF15"/>
    </row>
    <row r="16" spans="1:32" s="1" customFormat="1" x14ac:dyDescent="0.25">
      <c r="A16" s="2"/>
      <c r="B16" s="7" t="s">
        <v>4</v>
      </c>
      <c r="C16" s="6">
        <f>1.05*C9</f>
        <v>1619.7224857685012</v>
      </c>
      <c r="D16" s="6">
        <f>1.05*D9</f>
        <v>1632.3529411764707</v>
      </c>
      <c r="E16" s="2"/>
      <c r="F16" s="51">
        <v>2023</v>
      </c>
      <c r="G16" s="53"/>
      <c r="H16" s="53"/>
      <c r="I16" s="57"/>
      <c r="J16" s="57"/>
      <c r="K16" s="57"/>
      <c r="L16" s="53"/>
      <c r="M16" s="57"/>
      <c r="N16" s="57"/>
      <c r="O16" s="57"/>
      <c r="P16" s="60">
        <f t="shared" si="9"/>
        <v>0</v>
      </c>
      <c r="Q16" s="47"/>
      <c r="R16" s="47"/>
      <c r="S16" s="60">
        <v>4.4999999999999998E-2</v>
      </c>
      <c r="T16" s="9"/>
      <c r="U16"/>
      <c r="V16"/>
      <c r="W16"/>
      <c r="X16"/>
      <c r="Y16"/>
      <c r="Z16"/>
      <c r="AA16"/>
      <c r="AB16"/>
      <c r="AC16"/>
      <c r="AD16"/>
      <c r="AE16"/>
      <c r="AF16"/>
    </row>
    <row r="17" spans="1:32" s="1" customFormat="1" x14ac:dyDescent="0.25">
      <c r="A17" s="2"/>
      <c r="B17" s="7" t="s">
        <v>84</v>
      </c>
      <c r="C17" s="8">
        <v>250</v>
      </c>
      <c r="D17" s="8">
        <v>250</v>
      </c>
      <c r="E17" s="2"/>
      <c r="F17" s="51">
        <v>2024</v>
      </c>
      <c r="G17" s="53"/>
      <c r="H17" s="53"/>
      <c r="I17" s="57"/>
      <c r="J17" s="57"/>
      <c r="K17" s="57"/>
      <c r="L17" s="53"/>
      <c r="M17" s="57"/>
      <c r="N17" s="57"/>
      <c r="O17" s="57"/>
      <c r="P17" s="60">
        <f t="shared" si="9"/>
        <v>0</v>
      </c>
      <c r="Q17" s="47"/>
      <c r="R17" s="47"/>
      <c r="S17" s="60">
        <v>0.06</v>
      </c>
      <c r="T17" s="9"/>
      <c r="U17"/>
      <c r="V17"/>
      <c r="W17"/>
      <c r="X17"/>
      <c r="Y17"/>
      <c r="Z17"/>
      <c r="AA17"/>
      <c r="AB17"/>
      <c r="AC17"/>
      <c r="AD17"/>
      <c r="AE17"/>
      <c r="AF17"/>
    </row>
    <row r="18" spans="1:32" s="1" customFormat="1" x14ac:dyDescent="0.25">
      <c r="A18" s="2"/>
      <c r="B18" s="7" t="s">
        <v>83</v>
      </c>
      <c r="C18" s="8">
        <v>7</v>
      </c>
      <c r="D18" s="8">
        <v>7</v>
      </c>
      <c r="E18" s="2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/>
      <c r="V18"/>
      <c r="W18"/>
      <c r="X18"/>
      <c r="Y18"/>
      <c r="Z18"/>
      <c r="AA18"/>
      <c r="AB18"/>
      <c r="AC18"/>
      <c r="AD18"/>
      <c r="AE18"/>
      <c r="AF18"/>
    </row>
    <row r="19" spans="1:32" s="1" customFormat="1" x14ac:dyDescent="0.25">
      <c r="A19" s="9"/>
      <c r="B19" t="s">
        <v>21</v>
      </c>
      <c r="C19" s="9"/>
      <c r="D19" s="9"/>
      <c r="E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/>
      <c r="V19"/>
      <c r="W19"/>
      <c r="X19"/>
      <c r="Y19"/>
      <c r="Z19"/>
      <c r="AA19"/>
      <c r="AB19"/>
      <c r="AC19"/>
      <c r="AD19"/>
      <c r="AE19"/>
      <c r="AF19"/>
    </row>
    <row r="20" spans="1:32" s="3" customFormat="1" x14ac:dyDescent="0.25">
      <c r="A20" s="9"/>
      <c r="B20" s="7" t="s">
        <v>4</v>
      </c>
      <c r="C20" s="6">
        <f>(D20/D16)*C16</f>
        <v>198.45248474280731</v>
      </c>
      <c r="D20" s="6">
        <v>200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/>
      <c r="V20"/>
      <c r="W20"/>
      <c r="X20"/>
      <c r="Y20"/>
      <c r="Z20"/>
      <c r="AA20"/>
      <c r="AB20"/>
      <c r="AC20"/>
      <c r="AD20"/>
      <c r="AE20"/>
      <c r="AF20"/>
    </row>
    <row r="21" spans="1:32" s="1" customFormat="1" ht="9.75" customHeight="1" x14ac:dyDescent="0.25">
      <c r="A21" s="9"/>
      <c r="B21" s="61" t="s">
        <v>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/>
      <c r="V21"/>
      <c r="W21"/>
      <c r="X21"/>
      <c r="Y21"/>
      <c r="Z21"/>
      <c r="AA21"/>
      <c r="AB21"/>
      <c r="AC21"/>
      <c r="AD21"/>
      <c r="AE21"/>
      <c r="AF21"/>
    </row>
    <row r="22" spans="1:32" ht="9.75" customHeight="1" x14ac:dyDescent="0.25">
      <c r="A22" s="9"/>
      <c r="B22" s="62" t="s">
        <v>2</v>
      </c>
      <c r="C22" s="9"/>
      <c r="D22" s="9"/>
      <c r="E22" s="2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3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1:3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3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3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1:3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3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3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3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3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32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</sheetData>
  <hyperlinks>
    <hyperlink ref="B22" r:id="rId1" xr:uid="{6809B8FA-EF53-463D-89F5-CEB2C879347A}"/>
    <hyperlink ref="B21" r:id="rId2" xr:uid="{6D9D2D9F-142F-455F-89F9-224745B98BD5}"/>
  </hyperlinks>
  <pageMargins left="0.7" right="0.7" top="0.75" bottom="0.75" header="0.3" footer="0.3"/>
  <pageSetup paperSize="9"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E7DA-93BC-4134-BF77-DF386B5A691F}">
  <sheetPr>
    <tabColor theme="0" tint="-4.9989318521683403E-2"/>
  </sheetPr>
  <dimension ref="A1:O40"/>
  <sheetViews>
    <sheetView tabSelected="1" zoomScale="87" zoomScaleNormal="87" workbookViewId="0">
      <selection activeCell="M31" sqref="M31"/>
    </sheetView>
  </sheetViews>
  <sheetFormatPr baseColWidth="10" defaultRowHeight="15" x14ac:dyDescent="0.25"/>
  <cols>
    <col min="1" max="1" width="3.28515625" customWidth="1"/>
    <col min="2" max="2" width="9.5703125" style="1" customWidth="1"/>
    <col min="3" max="3" width="12.5703125" style="1" bestFit="1" customWidth="1"/>
    <col min="4" max="6" width="7.140625" style="1" customWidth="1"/>
    <col min="7" max="7" width="11.140625" style="1" bestFit="1" customWidth="1"/>
    <col min="8" max="8" width="2.5703125" customWidth="1"/>
    <col min="9" max="9" width="15.85546875" customWidth="1"/>
    <col min="10" max="10" width="7.85546875" style="1" bestFit="1" customWidth="1"/>
    <col min="11" max="11" width="6" style="1" bestFit="1" customWidth="1"/>
    <col min="12" max="12" width="7.42578125" style="1" bestFit="1" customWidth="1"/>
    <col min="13" max="13" width="7.42578125" bestFit="1" customWidth="1"/>
  </cols>
  <sheetData>
    <row r="1" spans="1:14" x14ac:dyDescent="0.25">
      <c r="A1" s="2"/>
      <c r="B1" s="9"/>
      <c r="C1" s="9"/>
      <c r="D1" s="9"/>
      <c r="E1" s="9"/>
      <c r="F1" s="9"/>
      <c r="G1" s="9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136" t="s">
        <v>93</v>
      </c>
      <c r="D2" s="134" t="s">
        <v>49</v>
      </c>
      <c r="E2" s="134"/>
      <c r="F2" s="134"/>
      <c r="G2" s="135" t="s">
        <v>46</v>
      </c>
      <c r="H2" s="2"/>
      <c r="I2" s="2"/>
      <c r="J2" s="2"/>
      <c r="K2" s="2"/>
      <c r="L2" s="2"/>
      <c r="M2" s="2"/>
      <c r="N2" s="2"/>
    </row>
    <row r="3" spans="1:14" x14ac:dyDescent="0.25">
      <c r="A3" s="2"/>
      <c r="C3" s="136"/>
      <c r="D3" s="20" t="s">
        <v>48</v>
      </c>
      <c r="E3" s="23" t="s">
        <v>69</v>
      </c>
      <c r="F3" s="23" t="s">
        <v>50</v>
      </c>
      <c r="G3" s="135"/>
      <c r="H3" s="2"/>
      <c r="I3" s="2"/>
      <c r="J3" s="2"/>
      <c r="K3" s="2"/>
      <c r="L3" s="2"/>
      <c r="M3" s="2"/>
      <c r="N3" s="2"/>
    </row>
    <row r="4" spans="1:14" x14ac:dyDescent="0.25">
      <c r="A4" s="2"/>
      <c r="B4" s="19" t="s">
        <v>44</v>
      </c>
      <c r="C4" s="18">
        <v>2</v>
      </c>
      <c r="D4" s="101">
        <f t="shared" ref="D4:F4" si="0">SUM(D5:D26)</f>
        <v>1075</v>
      </c>
      <c r="E4" s="101">
        <f t="shared" si="0"/>
        <v>1885</v>
      </c>
      <c r="F4" s="101">
        <f t="shared" si="0"/>
        <v>2960</v>
      </c>
      <c r="G4" s="101">
        <f>SUM(G5:G26)</f>
        <v>52857.142857142848</v>
      </c>
      <c r="H4" s="2"/>
      <c r="I4" s="2" t="s">
        <v>112</v>
      </c>
      <c r="J4" s="2"/>
      <c r="K4" s="2"/>
      <c r="L4" s="2"/>
      <c r="N4" s="64">
        <f>0.25*E4/F4</f>
        <v>0.15920608108108109</v>
      </c>
    </row>
    <row r="5" spans="1:14" x14ac:dyDescent="0.25">
      <c r="A5" s="2"/>
      <c r="B5" s="19" t="s">
        <v>23</v>
      </c>
      <c r="C5" s="15" t="s">
        <v>53</v>
      </c>
      <c r="D5" s="93">
        <v>50</v>
      </c>
      <c r="E5" s="25">
        <v>350</v>
      </c>
      <c r="F5" s="25">
        <f t="shared" ref="F5:F26" si="1">SUM(D5:E5)</f>
        <v>400</v>
      </c>
      <c r="G5" s="26">
        <f>'Fact-Sheet'!D$17*F5/D$28</f>
        <v>7142.8571428571431</v>
      </c>
      <c r="H5" s="2"/>
      <c r="I5" s="2"/>
      <c r="J5" s="2"/>
      <c r="K5" s="2"/>
      <c r="L5" s="2"/>
      <c r="M5" s="2"/>
      <c r="N5" s="2"/>
    </row>
    <row r="6" spans="1:14" x14ac:dyDescent="0.25">
      <c r="A6" s="2"/>
      <c r="B6" s="19" t="s">
        <v>45</v>
      </c>
      <c r="C6" s="15" t="s">
        <v>53</v>
      </c>
      <c r="D6" s="93">
        <v>50</v>
      </c>
      <c r="E6" s="25">
        <v>280</v>
      </c>
      <c r="F6" s="25">
        <f t="shared" si="1"/>
        <v>330</v>
      </c>
      <c r="G6" s="26">
        <f>'Fact-Sheet'!D$17*F6/D$28</f>
        <v>5892.8571428571431</v>
      </c>
      <c r="H6" s="2"/>
      <c r="I6" s="2"/>
      <c r="J6" s="2"/>
      <c r="K6" s="2"/>
      <c r="L6" s="2"/>
      <c r="M6" s="2"/>
      <c r="N6" s="2"/>
    </row>
    <row r="7" spans="1:14" x14ac:dyDescent="0.25">
      <c r="A7" s="2"/>
      <c r="B7" s="19" t="s">
        <v>41</v>
      </c>
      <c r="C7" s="15" t="s">
        <v>53</v>
      </c>
      <c r="D7" s="93">
        <v>50</v>
      </c>
      <c r="E7" s="25">
        <v>175</v>
      </c>
      <c r="F7" s="25">
        <f t="shared" si="1"/>
        <v>225</v>
      </c>
      <c r="G7" s="26">
        <f>'Fact-Sheet'!D$17*F7/D$28</f>
        <v>4017.8571428571427</v>
      </c>
      <c r="H7" s="2"/>
      <c r="I7" s="2"/>
      <c r="J7" s="2"/>
      <c r="K7" s="2"/>
      <c r="L7" s="2"/>
      <c r="M7" s="2"/>
      <c r="N7" s="2"/>
    </row>
    <row r="8" spans="1:14" x14ac:dyDescent="0.25">
      <c r="A8" s="2"/>
      <c r="B8" s="19" t="s">
        <v>26</v>
      </c>
      <c r="C8" s="15" t="s">
        <v>53</v>
      </c>
      <c r="D8" s="93">
        <v>50</v>
      </c>
      <c r="E8" s="25">
        <v>150</v>
      </c>
      <c r="F8" s="25">
        <f t="shared" si="1"/>
        <v>200</v>
      </c>
      <c r="G8" s="26">
        <f>'Fact-Sheet'!D$17*F8/D$28</f>
        <v>3571.4285714285716</v>
      </c>
      <c r="H8" s="2"/>
      <c r="I8" s="2"/>
      <c r="J8" s="2"/>
      <c r="K8" s="2"/>
      <c r="L8" s="2"/>
      <c r="M8" s="2"/>
      <c r="N8" s="2"/>
    </row>
    <row r="9" spans="1:14" x14ac:dyDescent="0.25">
      <c r="A9" s="2"/>
      <c r="B9" s="19" t="s">
        <v>27</v>
      </c>
      <c r="C9" s="15" t="s">
        <v>53</v>
      </c>
      <c r="D9" s="93">
        <v>100</v>
      </c>
      <c r="E9" s="25"/>
      <c r="F9" s="25">
        <f t="shared" si="1"/>
        <v>100</v>
      </c>
      <c r="G9" s="26">
        <f>'Fact-Sheet'!D$17*F9/D$28</f>
        <v>1785.7142857142858</v>
      </c>
      <c r="H9" s="2"/>
      <c r="I9" s="2"/>
      <c r="J9" s="2"/>
      <c r="K9" s="2"/>
      <c r="L9" s="2"/>
      <c r="M9" s="2"/>
      <c r="N9" s="2"/>
    </row>
    <row r="10" spans="1:14" x14ac:dyDescent="0.25">
      <c r="A10" s="2"/>
      <c r="B10" s="19" t="s">
        <v>36</v>
      </c>
      <c r="C10" s="15" t="s">
        <v>53</v>
      </c>
      <c r="D10" s="93">
        <v>100</v>
      </c>
      <c r="E10" s="25"/>
      <c r="F10" s="25">
        <f t="shared" si="1"/>
        <v>100</v>
      </c>
      <c r="G10" s="26">
        <f>'Fact-Sheet'!D$17*F10/D$28</f>
        <v>1785.7142857142858</v>
      </c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19" t="s">
        <v>32</v>
      </c>
      <c r="C11" s="15" t="s">
        <v>53</v>
      </c>
      <c r="D11" s="93">
        <v>50</v>
      </c>
      <c r="E11" s="25"/>
      <c r="F11" s="25">
        <f t="shared" si="1"/>
        <v>50</v>
      </c>
      <c r="G11" s="26">
        <f>'Fact-Sheet'!D$17*F11/D$28</f>
        <v>892.85714285714289</v>
      </c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19" t="s">
        <v>38</v>
      </c>
      <c r="C12" s="15" t="s">
        <v>53</v>
      </c>
      <c r="D12" s="93">
        <v>50</v>
      </c>
      <c r="E12" s="25"/>
      <c r="F12" s="25">
        <f t="shared" si="1"/>
        <v>50</v>
      </c>
      <c r="G12" s="26">
        <f>'Fact-Sheet'!D$17*F12/D$28</f>
        <v>892.85714285714289</v>
      </c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19" t="s">
        <v>31</v>
      </c>
      <c r="C13" s="15" t="s">
        <v>53</v>
      </c>
      <c r="D13" s="93">
        <v>50</v>
      </c>
      <c r="E13" s="25"/>
      <c r="F13" s="25">
        <f t="shared" si="1"/>
        <v>50</v>
      </c>
      <c r="G13" s="26">
        <f>'Fact-Sheet'!D$17*F13/D$28</f>
        <v>892.85714285714289</v>
      </c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19" t="s">
        <v>33</v>
      </c>
      <c r="C14" s="15" t="s">
        <v>53</v>
      </c>
      <c r="D14" s="93">
        <v>50</v>
      </c>
      <c r="E14" s="25"/>
      <c r="F14" s="25">
        <f t="shared" si="1"/>
        <v>50</v>
      </c>
      <c r="G14" s="26">
        <f>'Fact-Sheet'!D$17*F14/D$28</f>
        <v>892.85714285714289</v>
      </c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19" t="s">
        <v>35</v>
      </c>
      <c r="C15" s="15" t="s">
        <v>53</v>
      </c>
      <c r="D15" s="93">
        <v>50</v>
      </c>
      <c r="E15" s="25"/>
      <c r="F15" s="25">
        <f t="shared" si="1"/>
        <v>50</v>
      </c>
      <c r="G15" s="26">
        <f>'Fact-Sheet'!D$17*F15/D$28</f>
        <v>892.85714285714289</v>
      </c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19" t="s">
        <v>34</v>
      </c>
      <c r="C16" s="15" t="s">
        <v>53</v>
      </c>
      <c r="D16" s="93">
        <v>25</v>
      </c>
      <c r="E16" s="25"/>
      <c r="F16" s="25">
        <f t="shared" si="1"/>
        <v>25</v>
      </c>
      <c r="G16" s="26">
        <f>'Fact-Sheet'!D$17*F16/D$28</f>
        <v>446.42857142857144</v>
      </c>
      <c r="H16" s="2"/>
      <c r="I16" s="24" t="s">
        <v>100</v>
      </c>
      <c r="J16" s="20" t="s">
        <v>98</v>
      </c>
      <c r="K16" s="20"/>
      <c r="L16" s="20" t="s">
        <v>97</v>
      </c>
      <c r="M16" s="20" t="s">
        <v>46</v>
      </c>
      <c r="N16" s="2"/>
    </row>
    <row r="17" spans="1:15" x14ac:dyDescent="0.25">
      <c r="A17" s="2"/>
      <c r="B17" s="19" t="s">
        <v>39</v>
      </c>
      <c r="C17" s="15" t="s">
        <v>53</v>
      </c>
      <c r="D17" s="93">
        <v>25</v>
      </c>
      <c r="E17" s="25"/>
      <c r="F17" s="25">
        <f t="shared" si="1"/>
        <v>25</v>
      </c>
      <c r="G17" s="26">
        <f>'Fact-Sheet'!D$17*F17/D$28</f>
        <v>446.42857142857144</v>
      </c>
      <c r="H17" s="2"/>
      <c r="I17" s="24" t="s">
        <v>95</v>
      </c>
      <c r="J17" s="20">
        <v>50</v>
      </c>
      <c r="K17" s="41">
        <f>J17/SUM(J$17:J$20)</f>
        <v>0.1</v>
      </c>
      <c r="L17" s="21">
        <f>K17*E$19</f>
        <v>25.5</v>
      </c>
      <c r="M17" s="102">
        <f>'Fact-Sheet'!D$17*L17/D$28</f>
        <v>455.35714285714283</v>
      </c>
      <c r="N17" s="2"/>
    </row>
    <row r="18" spans="1:15" x14ac:dyDescent="0.25">
      <c r="A18" s="2"/>
      <c r="B18" s="19" t="s">
        <v>40</v>
      </c>
      <c r="C18" s="15" t="s">
        <v>53</v>
      </c>
      <c r="D18" s="93">
        <v>25</v>
      </c>
      <c r="E18" s="25"/>
      <c r="F18" s="25">
        <f t="shared" si="1"/>
        <v>25</v>
      </c>
      <c r="G18" s="26">
        <f>'Fact-Sheet'!D$17*F18/D$28</f>
        <v>446.42857142857144</v>
      </c>
      <c r="H18" s="2"/>
      <c r="I18" s="24" t="s">
        <v>52</v>
      </c>
      <c r="J18" s="20">
        <v>35</v>
      </c>
      <c r="K18" s="41">
        <f>J18/SUM(J$17:J$20)</f>
        <v>7.0000000000000007E-2</v>
      </c>
      <c r="L18" s="21">
        <f>K18*E$19</f>
        <v>17.850000000000001</v>
      </c>
      <c r="M18" s="102">
        <f>'Fact-Sheet'!D$17*L18/D$28</f>
        <v>318.75</v>
      </c>
      <c r="N18" s="2"/>
    </row>
    <row r="19" spans="1:15" x14ac:dyDescent="0.25">
      <c r="A19" s="2"/>
      <c r="B19" s="65" t="s">
        <v>37</v>
      </c>
      <c r="C19" s="66" t="s">
        <v>0</v>
      </c>
      <c r="D19" s="67">
        <v>50</v>
      </c>
      <c r="E19" s="67">
        <v>255</v>
      </c>
      <c r="F19" s="67">
        <f t="shared" si="1"/>
        <v>305</v>
      </c>
      <c r="G19" s="68">
        <f>'Fact-Sheet'!D$17*F19/D$28</f>
        <v>5446.4285714285716</v>
      </c>
      <c r="H19" s="2"/>
      <c r="I19" s="103" t="s">
        <v>96</v>
      </c>
      <c r="J19" s="104">
        <v>390</v>
      </c>
      <c r="K19" s="105">
        <f>J19/SUM(J$17:J$20)</f>
        <v>0.78</v>
      </c>
      <c r="L19" s="106">
        <f>K19*E$19</f>
        <v>198.9</v>
      </c>
      <c r="M19" s="94">
        <f>'Fact-Sheet'!D$17*L19/D$28</f>
        <v>3551.7857142857142</v>
      </c>
      <c r="N19" s="2"/>
    </row>
    <row r="20" spans="1:15" x14ac:dyDescent="0.25">
      <c r="A20" s="2"/>
      <c r="B20" s="19" t="s">
        <v>24</v>
      </c>
      <c r="C20" s="15" t="s">
        <v>0</v>
      </c>
      <c r="D20" s="93"/>
      <c r="E20" s="25">
        <v>300</v>
      </c>
      <c r="F20" s="25">
        <f t="shared" si="1"/>
        <v>300</v>
      </c>
      <c r="G20" s="26">
        <f>'Fact-Sheet'!D$17*F20/D$28</f>
        <v>5357.1428571428569</v>
      </c>
      <c r="H20" s="2"/>
      <c r="I20" s="24" t="s">
        <v>94</v>
      </c>
      <c r="J20" s="20">
        <v>25</v>
      </c>
      <c r="K20" s="41">
        <f>J20/SUM(J$17:J$20)</f>
        <v>0.05</v>
      </c>
      <c r="L20" s="21">
        <f>K20*E$19</f>
        <v>12.75</v>
      </c>
      <c r="M20" s="102">
        <f>'Fact-Sheet'!D$17*L20/D$28</f>
        <v>227.67857142857142</v>
      </c>
      <c r="N20" s="2"/>
    </row>
    <row r="21" spans="1:15" x14ac:dyDescent="0.25">
      <c r="A21" s="2"/>
      <c r="B21" s="19" t="s">
        <v>42</v>
      </c>
      <c r="C21" s="15" t="s">
        <v>0</v>
      </c>
      <c r="D21" s="93">
        <v>25</v>
      </c>
      <c r="E21" s="25">
        <v>125</v>
      </c>
      <c r="F21" s="25">
        <f t="shared" si="1"/>
        <v>150</v>
      </c>
      <c r="G21" s="26">
        <f>'Fact-Sheet'!D$17*F21/D$28</f>
        <v>2678.5714285714284</v>
      </c>
      <c r="H21" s="2"/>
      <c r="I21" s="22" t="s">
        <v>99</v>
      </c>
      <c r="J21" s="95">
        <f t="shared" ref="J21:K21" si="2">SUM(J17:J20)</f>
        <v>500</v>
      </c>
      <c r="K21" s="96">
        <f t="shared" si="2"/>
        <v>1</v>
      </c>
      <c r="L21" s="95">
        <f>SUM(L17:L20)</f>
        <v>255</v>
      </c>
      <c r="M21" s="95">
        <f>SUM(M17:M20)</f>
        <v>4553.5714285714284</v>
      </c>
      <c r="N21" s="2"/>
      <c r="O21" s="2"/>
    </row>
    <row r="22" spans="1:15" x14ac:dyDescent="0.25">
      <c r="A22" s="2"/>
      <c r="B22" s="19" t="s">
        <v>30</v>
      </c>
      <c r="C22" s="15" t="s">
        <v>0</v>
      </c>
      <c r="D22" s="93">
        <v>50</v>
      </c>
      <c r="E22" s="25"/>
      <c r="F22" s="25">
        <f t="shared" si="1"/>
        <v>50</v>
      </c>
      <c r="G22" s="26">
        <f>'Fact-Sheet'!D$17*F22/D$28</f>
        <v>892.85714285714289</v>
      </c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19" t="s">
        <v>29</v>
      </c>
      <c r="C23" s="15" t="s">
        <v>0</v>
      </c>
      <c r="D23" s="93">
        <v>25</v>
      </c>
      <c r="E23" s="25"/>
      <c r="F23" s="25">
        <f t="shared" si="1"/>
        <v>25</v>
      </c>
      <c r="G23" s="26">
        <f>'Fact-Sheet'!D$17*F23/D$28</f>
        <v>446.42857142857144</v>
      </c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19" t="s">
        <v>43</v>
      </c>
      <c r="C24" s="15" t="s">
        <v>0</v>
      </c>
      <c r="D24" s="93">
        <v>25</v>
      </c>
      <c r="E24" s="25"/>
      <c r="F24" s="25">
        <f t="shared" si="1"/>
        <v>25</v>
      </c>
      <c r="G24" s="26">
        <f>'Fact-Sheet'!D$17*F24/D$28</f>
        <v>446.42857142857144</v>
      </c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19" t="s">
        <v>25</v>
      </c>
      <c r="C25" s="15" t="s">
        <v>0</v>
      </c>
      <c r="D25" s="93">
        <v>75</v>
      </c>
      <c r="E25" s="25">
        <v>250</v>
      </c>
      <c r="F25" s="25">
        <f t="shared" si="1"/>
        <v>325</v>
      </c>
      <c r="G25" s="26">
        <f>'Fact-Sheet'!D$17*F25/D$28</f>
        <v>5803.5714285714284</v>
      </c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19" t="s">
        <v>28</v>
      </c>
      <c r="C26" s="15" t="s">
        <v>0</v>
      </c>
      <c r="D26" s="93">
        <v>100</v>
      </c>
      <c r="E26" s="25"/>
      <c r="F26" s="25">
        <f t="shared" si="1"/>
        <v>100</v>
      </c>
      <c r="G26" s="26">
        <f>'Fact-Sheet'!D$17*F26/D$28</f>
        <v>1785.7142857142858</v>
      </c>
      <c r="H26" s="2"/>
      <c r="I26" s="2"/>
      <c r="J26" s="2"/>
      <c r="K26" s="2"/>
      <c r="L26" s="2"/>
      <c r="M26" s="2"/>
      <c r="N26" s="2"/>
      <c r="O26" s="2"/>
    </row>
    <row r="27" spans="1:15" ht="6.75" customHeight="1" x14ac:dyDescent="0.25">
      <c r="A27" s="97"/>
      <c r="B27" s="97"/>
      <c r="C27" s="97"/>
      <c r="D27" s="97"/>
      <c r="E27" s="97"/>
      <c r="F27" s="97"/>
      <c r="G27" s="98"/>
      <c r="H27" s="2"/>
      <c r="I27" s="2"/>
      <c r="J27" s="2"/>
      <c r="K27" s="2"/>
      <c r="L27" s="2"/>
      <c r="M27" s="2"/>
      <c r="N27" s="2"/>
      <c r="O27" s="2"/>
    </row>
    <row r="28" spans="1:15" ht="11.25" customHeight="1" x14ac:dyDescent="0.25">
      <c r="A28" s="2"/>
      <c r="B28" s="2"/>
      <c r="C28" s="99" t="s">
        <v>51</v>
      </c>
      <c r="D28" s="100">
        <v>14</v>
      </c>
      <c r="E28" s="97"/>
      <c r="F28" s="97"/>
      <c r="G28" s="98"/>
      <c r="H28" s="2"/>
      <c r="I28" s="2"/>
      <c r="J28" s="2"/>
      <c r="K28" s="2"/>
      <c r="L28" s="2"/>
      <c r="M28" s="2"/>
      <c r="N28" s="2"/>
      <c r="O28" s="2"/>
    </row>
    <row r="29" spans="1:15" ht="11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/>
      <c r="B30" s="2"/>
      <c r="C30" s="15" t="s">
        <v>0</v>
      </c>
      <c r="D30" s="107">
        <f t="shared" ref="D30:F30" si="3">SUM(D19:D26)</f>
        <v>350</v>
      </c>
      <c r="E30" s="107">
        <f t="shared" si="3"/>
        <v>930</v>
      </c>
      <c r="F30" s="107">
        <f t="shared" si="3"/>
        <v>1280</v>
      </c>
      <c r="G30" s="107">
        <f>SUM(G19:G26)</f>
        <v>22857.142857142855</v>
      </c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/>
      <c r="B31" s="2"/>
      <c r="C31" s="15" t="s">
        <v>53</v>
      </c>
      <c r="D31" s="107">
        <f>SUM(D5:D18)</f>
        <v>725</v>
      </c>
      <c r="E31" s="107">
        <f t="shared" ref="E31:G31" si="4">SUM(E5:E18)</f>
        <v>955</v>
      </c>
      <c r="F31" s="107">
        <f t="shared" si="4"/>
        <v>1680</v>
      </c>
      <c r="G31" s="107">
        <f t="shared" si="4"/>
        <v>29999.999999999996</v>
      </c>
      <c r="H31" s="2"/>
      <c r="I31" s="2"/>
      <c r="J31" s="2"/>
      <c r="K31" s="2"/>
      <c r="L31" s="2"/>
      <c r="M31" s="2"/>
      <c r="N31" s="2"/>
      <c r="O31" s="2"/>
    </row>
    <row r="32" spans="1: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9" x14ac:dyDescent="0.25">
      <c r="A33" s="15"/>
      <c r="B33" s="15"/>
      <c r="C33" s="15"/>
      <c r="D33" s="15"/>
      <c r="E33" s="15"/>
      <c r="F33" s="15"/>
      <c r="G33" s="16"/>
      <c r="H33" s="63"/>
      <c r="I33" s="15"/>
    </row>
    <row r="34" spans="1:9" x14ac:dyDescent="0.25">
      <c r="A34" s="15"/>
      <c r="B34" s="15"/>
      <c r="C34" s="15"/>
      <c r="D34" s="15"/>
      <c r="E34" s="15"/>
      <c r="F34" s="15"/>
      <c r="G34" s="16"/>
      <c r="H34" s="63"/>
      <c r="I34" s="15"/>
    </row>
    <row r="35" spans="1:9" x14ac:dyDescent="0.25">
      <c r="A35" s="15"/>
      <c r="B35" s="15"/>
      <c r="C35" s="15"/>
      <c r="D35" s="15"/>
      <c r="E35" s="15"/>
      <c r="F35" s="15"/>
      <c r="G35" s="16"/>
      <c r="H35" s="63"/>
      <c r="I35" s="15"/>
    </row>
    <row r="36" spans="1:9" x14ac:dyDescent="0.25">
      <c r="A36" s="15"/>
      <c r="B36" s="15"/>
      <c r="C36" s="15"/>
      <c r="D36" s="15"/>
      <c r="E36" s="15"/>
      <c r="F36" s="15"/>
      <c r="G36" s="16"/>
      <c r="H36" s="63"/>
      <c r="I36" s="15"/>
    </row>
    <row r="37" spans="1:9" x14ac:dyDescent="0.25">
      <c r="B37"/>
      <c r="C37"/>
      <c r="D37"/>
      <c r="E37"/>
      <c r="F37"/>
      <c r="I37" s="15"/>
    </row>
    <row r="38" spans="1:9" x14ac:dyDescent="0.25">
      <c r="B38"/>
      <c r="C38"/>
      <c r="D38"/>
      <c r="E38"/>
      <c r="F38"/>
      <c r="I38" s="15"/>
    </row>
    <row r="39" spans="1:9" x14ac:dyDescent="0.25">
      <c r="I39" s="15"/>
    </row>
    <row r="40" spans="1:9" x14ac:dyDescent="0.25">
      <c r="I40" s="15"/>
    </row>
  </sheetData>
  <sortState xmlns:xlrd2="http://schemas.microsoft.com/office/spreadsheetml/2017/richdata2" ref="B5:H24">
    <sortCondition ref="H5:H24"/>
  </sortState>
  <mergeCells count="3">
    <mergeCell ref="D2:F2"/>
    <mergeCell ref="G2:G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Operations</vt:lpstr>
      <vt:lpstr>Slots</vt:lpstr>
      <vt:lpstr>Fact-Sheet</vt:lpstr>
      <vt:lpstr>Market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naef</dc:creator>
  <cp:lastModifiedBy>erich naef</cp:lastModifiedBy>
  <cp:lastPrinted>2019-09-23T04:06:37Z</cp:lastPrinted>
  <dcterms:created xsi:type="dcterms:W3CDTF">2019-07-31T20:04:29Z</dcterms:created>
  <dcterms:modified xsi:type="dcterms:W3CDTF">2020-02-22T19:57:03Z</dcterms:modified>
</cp:coreProperties>
</file>