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Projects\Real_Estate_Analysis\01 Misc\"/>
    </mc:Choice>
  </mc:AlternateContent>
  <xr:revisionPtr revIDLastSave="0" documentId="13_ncr:1_{1F55B13D-E64E-4D91-9E72-7AE816064429}" xr6:coauthVersionLast="45" xr6:coauthVersionMax="45" xr10:uidLastSave="{00000000-0000-0000-0000-000000000000}"/>
  <bookViews>
    <workbookView xWindow="0" yWindow="4068" windowWidth="15336" windowHeight="9480" activeTab="2" xr2:uid="{11F5ACB1-3450-47F1-AB78-9159E8B1798A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L2" i="2"/>
  <c r="E71" i="2"/>
  <c r="E70" i="2"/>
  <c r="H69" i="2"/>
  <c r="H71" i="2" s="1"/>
  <c r="E69" i="2"/>
  <c r="E65" i="2"/>
  <c r="E64" i="2"/>
  <c r="H63" i="2"/>
  <c r="H65" i="2" s="1"/>
  <c r="E63" i="2"/>
  <c r="E59" i="2"/>
  <c r="E58" i="2"/>
  <c r="E57" i="2"/>
  <c r="E53" i="2"/>
  <c r="E52" i="2"/>
  <c r="E51" i="2"/>
  <c r="E50" i="2"/>
  <c r="E49" i="2"/>
  <c r="E45" i="2"/>
  <c r="E44" i="2"/>
  <c r="E43" i="2"/>
  <c r="H43" i="2" s="1"/>
  <c r="H45" i="2" s="1"/>
  <c r="E39" i="2"/>
  <c r="E38" i="2"/>
  <c r="H35" i="2" s="1"/>
  <c r="H37" i="2" s="1"/>
  <c r="E37" i="2"/>
  <c r="E36" i="2"/>
  <c r="E35" i="2"/>
  <c r="E31" i="2"/>
  <c r="E30" i="2"/>
  <c r="E29" i="2"/>
  <c r="E28" i="2"/>
  <c r="E27" i="2"/>
  <c r="E23" i="2"/>
  <c r="E22" i="2"/>
  <c r="E21" i="2"/>
  <c r="E20" i="2"/>
  <c r="E19" i="2"/>
  <c r="E15" i="2"/>
  <c r="E14" i="2"/>
  <c r="E13" i="2"/>
  <c r="H12" i="2" s="1"/>
  <c r="H14" i="2" s="1"/>
  <c r="E12" i="2"/>
  <c r="E8" i="2"/>
  <c r="E7" i="2"/>
  <c r="E6" i="2"/>
  <c r="E5" i="2"/>
  <c r="E4" i="2"/>
  <c r="E3" i="2"/>
  <c r="E2" i="2"/>
  <c r="H49" i="2" l="1"/>
  <c r="H51" i="2" s="1"/>
  <c r="H57" i="2"/>
  <c r="H59" i="2" s="1"/>
  <c r="H27" i="2"/>
  <c r="H29" i="2" s="1"/>
  <c r="H19" i="2"/>
  <c r="H21" i="2" s="1"/>
  <c r="H4" i="2"/>
  <c r="L4" i="2" s="1"/>
</calcChain>
</file>

<file path=xl/sharedStrings.xml><?xml version="1.0" encoding="utf-8"?>
<sst xmlns="http://schemas.openxmlformats.org/spreadsheetml/2006/main" count="243" uniqueCount="102">
  <si>
    <t>Model</t>
  </si>
  <si>
    <t>Count</t>
  </si>
  <si>
    <t>CV Impact</t>
  </si>
  <si>
    <t>Total</t>
  </si>
  <si>
    <t>CatBoostRegressor</t>
  </si>
  <si>
    <t>Scaler</t>
  </si>
  <si>
    <t>Feature Selection</t>
  </si>
  <si>
    <t>Regressor</t>
  </si>
  <si>
    <t>Depth</t>
  </si>
  <si>
    <t>Learning Rate</t>
  </si>
  <si>
    <t>Iterations</t>
  </si>
  <si>
    <t>Loss Function</t>
  </si>
  <si>
    <t>GaussianProcessRegressor</t>
  </si>
  <si>
    <t>Total Models</t>
  </si>
  <si>
    <t>Kernel</t>
  </si>
  <si>
    <t>SVR</t>
  </si>
  <si>
    <t>C</t>
  </si>
  <si>
    <t>ElasticNet</t>
  </si>
  <si>
    <t>DecisionTreeRegressor</t>
  </si>
  <si>
    <t>KNeighborsRegressor</t>
  </si>
  <si>
    <t>MLPRegressor</t>
  </si>
  <si>
    <t>LinearRegression</t>
  </si>
  <si>
    <t>Algorithm</t>
  </si>
  <si>
    <t>Best Score</t>
  </si>
  <si>
    <t>Best Parameters</t>
  </si>
  <si>
    <t>Scores</t>
  </si>
  <si>
    <t>Accuracy</t>
  </si>
  <si>
    <t>STD</t>
  </si>
  <si>
    <t>R2</t>
  </si>
  <si>
    <t>{'feature_selection': 'SelectFromModel',
    #  'regressor': &lt;catboost.core.CatBoostRegressor object at 0x000001B2755DD8C8&gt;,
    #  'regressor__depth': 6,
    #  'regressor__iterations': 1000,
    #  'regressor__learning_rate': 0.05,
    #  'regressor__loss_function': 'RMSE',
    #  'scaler': QuantileTransformer()}</t>
  </si>
  <si>
    <t>[0.78203187 0.8067176  0.82525442 0.49216929 0.85644521]</t>
  </si>
  <si>
    <t>{'feature_selection': 'passthrough', 'regressor': GaussianProcessRegressor(kernel=DotProduct(sigma_0=1) + WhiteKernel(noise_level=1)), 'regressor__kernel': DotProduct(sigma_0=1) + WhiteKernel(noise_level=1), 'scaler': StandardScaler()}</t>
  </si>
  <si>
    <t>[-0.2159637   0.01457635 -0.01174468  0.00421821 -0.02461592]</t>
  </si>
  <si>
    <t>{'feature_selection': RFECV(estimator=DecisionTreeRegressor(), step=0.2), 'regressor': DecisionTreeRegressor(), 'scaler': PowerTransformer()}</t>
  </si>
  <si>
    <t>[0.32029259 0.72313682 0.73525906 0.51560791 0.49537533]</t>
  </si>
  <si>
    <t>KneighborsRegressor</t>
  </si>
  <si>
    <t>{'feature_selection': 'passthrough', 'regressor': KNeighborsRegressor(weights='distance'), 'regressor__n_neighbors': 5, 'regressor__weights': 'distance', 'scaler': StandardScaler()}</t>
  </si>
  <si>
    <t>[0.60594598 0.73823985 0.63483977 0.60926086 0.57120397]</t>
  </si>
  <si>
    <t>RandomForestRegressor</t>
  </si>
  <si>
    <t>{'feature_selection': RFECV(estimator=RandomForestRegressor(), step=0.2), 'regressor': RandomForestRegressor(), 'scaler': RobustScaler()}</t>
  </si>
  <si>
    <t>[0.68612681 0.82644806 0.7220019  0.55959635 0.84375868]</t>
  </si>
  <si>
    <t>{'feature_selection': SelectFromModel(estimator=LinearRegression()), 'regressor': LinearRegression(), 'scaler': RobustScaler()}</t>
  </si>
  <si>
    <t>[0.38439308 0.71925008 0.72576505 0.64645084 0.7286012 ]</t>
  </si>
  <si>
    <t>{'feature_selection': 'passthrough', 'regressor': SVR(C=100.0, kernel='linear'), 'regressor__C': 100.0, 'regressor__kernel': 'linear', 'scaler': StandardScaler()}</t>
  </si>
  <si>
    <t>[0.25399576 0.15420621 0.20332537 0.09868715 0.07382447]</t>
  </si>
  <si>
    <t>{'feature_selection': 'passthrough', 'regressor': SVR(C=100.0, kernel='poly'), 'regressor__C': 100.0, 'regressor__kernel': 'poly', 'scaler': QuantileTransformer()}</t>
  </si>
  <si>
    <t>[0.36155381 0.20936479 0.28209175 0.04234977 0.07184761]</t>
  </si>
  <si>
    <t>{'feature_selection': 'passthrough', 'regressor': ElasticNet(alpha=100.0, l1_ratio=1.0), 'regressor__alpha': 100.0, 'regressor__l1_ratio': 1.0, 'scaler': RobustScaler()}</t>
  </si>
  <si>
    <t>[0.48068951 0.72791737 0.65535217 0.67778853 0.82517594]</t>
  </si>
  <si>
    <t>{'feature_selection': 'passthrough', 'regressor': MLPRegressor(), 'scaler': RobustScaler()}</t>
  </si>
  <si>
    <t>[-3.43337623 -2.04705643 -2.0220218  -0.53848591 -0.81972003]</t>
  </si>
  <si>
    <t>{'feature_selection': 'passthrough', 'regressor': VotingRegressor(estimators=[('catboost',
#                              &lt;catboost.core.CatBoostRegressor object at 0x000001EC723FF848&gt;),
#                             ('randforest', RandomForestRegressor()),
#                             ('enet', ElasticNet(alpha=100.0, l1_ratio=1.0)),
#                             ('lr', LinearRegression()),
#                             ('kn', KNeighborsRegressor(weights='distance'))]), 'scaler': StandardScaler()}</t>
  </si>
  <si>
    <t>Voting Regressor</t>
  </si>
  <si>
    <t>[0.74772938 0.84851892 0.77905139 0.66461755 0.80593119]</t>
  </si>
  <si>
    <t>Param</t>
  </si>
  <si>
    <t>Total Models with CV</t>
  </si>
  <si>
    <t>SVR with Feature Selection</t>
  </si>
  <si>
    <t>Alpha</t>
  </si>
  <si>
    <t>L1 Ratio</t>
  </si>
  <si>
    <t>INDEX</t>
  </si>
  <si>
    <t>mean_fit_time</t>
  </si>
  <si>
    <t>std_fit_time</t>
  </si>
  <si>
    <t>mean_score_time</t>
  </si>
  <si>
    <t>std_score_time</t>
  </si>
  <si>
    <t>param_feature_selection</t>
  </si>
  <si>
    <t>param_regressor</t>
  </si>
  <si>
    <t>param_regressor__depth</t>
  </si>
  <si>
    <t>param_regressor__iterations</t>
  </si>
  <si>
    <t>param_regressor__learning_rate</t>
  </si>
  <si>
    <t>param_regressor__loss_function</t>
  </si>
  <si>
    <t>param_scaler</t>
  </si>
  <si>
    <t>param_regressor__kernel</t>
  </si>
  <si>
    <t>param_regressor__C</t>
  </si>
  <si>
    <t>param_regressor__alpha</t>
  </si>
  <si>
    <t>param_regressor__l1_ratio</t>
  </si>
  <si>
    <t>param_regressor__n_neighbors</t>
  </si>
  <si>
    <t>param_regressor__weights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</si>
  <si>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</si>
  <si>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</si>
  <si>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</si>
  <si>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</si>
  <si>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</si>
  <si>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</si>
  <si>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</si>
  <si>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</si>
  <si>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</si>
  <si>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SelectFromModel(estimator=&lt;catboost.core.CatBoostRegressor object at 0x000001B4F38F4048&gt;)</t>
  </si>
  <si>
    <t>&lt;catboost.core.CatBoostRegressor object at 0x000001B4F3F01B48&gt;</t>
  </si>
  <si>
    <t>RMSE</t>
  </si>
  <si>
    <t>QuantileTransformer()</t>
  </si>
  <si>
    <t>{'feature_selection': SelectFromModel(estimator=&lt;catboost.core.CatBoostRegressor object at 0x000001B4F38F4048&gt;), 'regressor': &lt;catboost.core.CatBoostRegressor object at 0x000001B4F3F01B48&gt;, 'regressor__depth': 6, 'regressor__iterations': 1000, 'regressor__learning_rate': 0.05, 'regressor__loss_function': 'RMSE', 'scaler': QuantileTransformer()}</t>
  </si>
  <si>
    <t>RFECV(estimator=RandomForestRegressor(), step=0.2)</t>
  </si>
  <si>
    <t>RandomForestRegressor()</t>
  </si>
  <si>
    <t>{'feature_selection': RFECV(estimator=RandomForestRegressor(), step=0.2), 'regressor': RandomForestRegressor(), 'scaler': QuantileTransformer()}</t>
  </si>
  <si>
    <t>passthrough</t>
  </si>
  <si>
    <t>KNeighborsRegressor()</t>
  </si>
  <si>
    <t>StandardScaler()</t>
  </si>
  <si>
    <t>distance</t>
  </si>
  <si>
    <t>{'feature_selection': 'passthrough', 'regressor': KNeighborsRegressor(), 'regressor__n_neighbors': 5, 'regressor__weights': 'distance', 'scaler': StandardScaler()}</t>
  </si>
  <si>
    <t>ElasticNet()</t>
  </si>
  <si>
    <t>RobustScaler()</t>
  </si>
  <si>
    <t>{'feature_selection': 'passthrough', 'regressor': ElasticNet(), 'regressor__alpha': 100.0, 'regressor__l1_ratio': 1.0, 'scaler': RobustScaler()}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</si>
</sst>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/>
    <xf numFmtId="0" fontId="0" fillId="2" borderId="0" xfId="0" applyFill="1"/>
    <xf numFmtId="1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B6334C-F035-428D-A65E-943A283567CF}" name="Table2" displayName="Table2" ref="A1:E8" totalsRowShown="0">
  <autoFilter ref="A1:E8" xr:uid="{F154FF15-D136-43B4-919C-C1F8EB9C2146}"/>
  <tableColumns count="5">
    <tableColumn id="1" xr3:uid="{A3DC1999-336E-4A25-9B1D-170FF1D6B19E}" name="Model"/>
    <tableColumn id="2" xr3:uid="{A25FE427-E67E-4E81-A13B-AB4451BBFC4A}" name="Param"/>
    <tableColumn id="3" xr3:uid="{1EBD72C1-E22F-4671-A206-2BF87489204E}" name="Count"/>
    <tableColumn id="4" xr3:uid="{286CD807-329D-4AA9-BAFE-37CEB0E234AE}" name="CV Impact"/>
    <tableColumn id="5" xr3:uid="{3A4EF47B-127E-47DE-B4FB-F58D06BD4F52}" name="Total">
      <calculatedColumnFormula>Table2[[#This Row],[Count]]*Table2[[#This Row],[CV Impact]]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607D78-CA34-44F8-855E-BB788BFA7B5F}" name="Table24567101213" displayName="Table24567101213" ref="A68:E71" totalsRowShown="0">
  <autoFilter ref="A68:E71" xr:uid="{2B390F4F-09E2-4582-BED4-092D01FD9C93}"/>
  <tableColumns count="5">
    <tableColumn id="1" xr3:uid="{97198845-4995-4CAA-A64A-BD2009B92F04}" name="Model"/>
    <tableColumn id="2" xr3:uid="{353DB8CA-46CB-42FD-9DCE-223F0536B135}" name="Param"/>
    <tableColumn id="3" xr3:uid="{050BCF1E-2E7D-4D1A-940A-1564C5658F1E}" name="Count"/>
    <tableColumn id="4" xr3:uid="{4FF3A7EB-78C3-4183-81B0-91CBC9B53A72}" name="CV Impact"/>
    <tableColumn id="5" xr3:uid="{58B857D0-5301-4B23-B873-2BECB80F90AB}" name="Total">
      <calculatedColumnFormula>Table24567101213[[#This Row],[Count]]*Table24567101213[[#This Row],[CV Impact]]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5A8F14-A01D-4C73-B78F-95C9B24015B1}" name="Table24" displayName="Table24" ref="A11:E15" totalsRowShown="0">
  <autoFilter ref="A11:E15" xr:uid="{3CE69C2E-951D-4E84-A455-4C95012E66CE}"/>
  <tableColumns count="5">
    <tableColumn id="1" xr3:uid="{4B76CEF1-7FC2-410F-A396-FE3D787C256B}" name="Model"/>
    <tableColumn id="2" xr3:uid="{FB2607F1-DA08-4764-BBD0-A3C644A90F99}" name="Param"/>
    <tableColumn id="3" xr3:uid="{B81A7A3A-5A8E-47A1-9946-26C4773942D5}" name="Count"/>
    <tableColumn id="4" xr3:uid="{913C1167-17F6-407B-AA7C-BC1891EFBFC7}" name="CV Impact"/>
    <tableColumn id="5" xr3:uid="{F9DD3A0C-E3E1-4E69-A2FE-ECCCB4BE8A33}" name="Total">
      <calculatedColumnFormula>Table24[[#This Row],[Count]]*Table24[[#This Row],[CV Impact]]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474293-916C-4C38-A029-4A5FA525D240}" name="Table245" displayName="Table245" ref="A18:E23" totalsRowShown="0">
  <autoFilter ref="A18:E23" xr:uid="{BEDEFC45-C847-4A75-9781-4AB1E185224E}"/>
  <tableColumns count="5">
    <tableColumn id="1" xr3:uid="{19D8FCFB-ADEB-4EA5-8173-0D3DC043004A}" name="Model"/>
    <tableColumn id="2" xr3:uid="{0B2318D7-8D64-4B58-9944-904548705154}" name="Param"/>
    <tableColumn id="3" xr3:uid="{49111C2B-BE46-4687-9C9F-382011158DD3}" name="Count"/>
    <tableColumn id="4" xr3:uid="{551A601D-49C0-457A-810C-48B4ED15D165}" name="CV Impact"/>
    <tableColumn id="5" xr3:uid="{D123D459-3EF8-4837-9514-9776D54F0E2E}" name="Total">
      <calculatedColumnFormula>Table245[[#This Row],[Count]]*Table245[[#This Row],[CV Impact]]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402F50-C577-44FB-901A-B09C4C448020}" name="Table2456" displayName="Table2456" ref="A26:E31" totalsRowShown="0">
  <autoFilter ref="A26:E31" xr:uid="{6D5D949F-2FDA-4A8D-8984-1AEF75E3A71E}"/>
  <tableColumns count="5">
    <tableColumn id="1" xr3:uid="{7810A97A-8C17-44EB-90C6-68C814BFA326}" name="Model"/>
    <tableColumn id="2" xr3:uid="{DC97C70A-1FE6-426C-9109-1D017A30A652}" name="Param"/>
    <tableColumn id="3" xr3:uid="{0878718F-BDC3-487E-8462-D8B142FD34C3}" name="Count"/>
    <tableColumn id="4" xr3:uid="{E328031D-9B1B-4745-876F-AB6431175950}" name="CV Impact"/>
    <tableColumn id="5" xr3:uid="{767EB4CE-08D2-42C8-B98F-8C09E6DB065F}" name="Total">
      <calculatedColumnFormula>Table2456[[#This Row],[Count]]*Table2456[[#This Row],[CV Impact]]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D50936-159B-4B8D-8F6E-B2D2B8389B2F}" name="Table24567" displayName="Table24567" ref="A34:E39" totalsRowShown="0">
  <autoFilter ref="A34:E39" xr:uid="{E0409F93-800E-4ACD-A852-2184EB02200A}"/>
  <tableColumns count="5">
    <tableColumn id="1" xr3:uid="{435A0B08-F6CC-402B-A1CD-92D18848C921}" name="Model"/>
    <tableColumn id="2" xr3:uid="{64D6AE4C-4CA0-43F9-8EC5-BA6398539321}" name="Param"/>
    <tableColumn id="3" xr3:uid="{974A71F9-E182-48E2-B8B2-FA46D44437ED}" name="Count"/>
    <tableColumn id="4" xr3:uid="{122D650F-E015-4A13-8758-F05C7D525853}" name="CV Impact"/>
    <tableColumn id="5" xr3:uid="{BF50D233-CE81-4A06-8D18-E57E86AF9591}" name="Total">
      <calculatedColumnFormula>Table24567[[#This Row],[Count]]*Table24567[[#This Row],[CV Impact]]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8AF155C-0BE2-461D-96F5-D30E43B2EC36}" name="Table245679" displayName="Table245679" ref="A42:E45" totalsRowShown="0">
  <autoFilter ref="A42:E45" xr:uid="{C48346BD-DC14-4B8D-879E-50D687089E2D}"/>
  <tableColumns count="5">
    <tableColumn id="1" xr3:uid="{AF7A7401-3511-4730-893E-1B49EAA45D1F}" name="Model"/>
    <tableColumn id="2" xr3:uid="{57240B6C-ADBF-4995-ADCC-279A8353EF81}" name="Param"/>
    <tableColumn id="3" xr3:uid="{1DDE6ABB-E8A3-4514-8B5D-DBFEA2930B0E}" name="Count"/>
    <tableColumn id="4" xr3:uid="{D5D35341-D468-496F-ABEA-6A2B8CCF6BCB}" name="CV Impact"/>
    <tableColumn id="5" xr3:uid="{2D6365DF-682E-452B-AFBB-38A3BBBB06BF}" name="Total">
      <calculatedColumnFormula>Table245679[[#This Row],[Count]]*Table245679[[#This Row],[CV Impact]]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9880D6C-0CA2-4166-B24A-0E19F1505959}" name="Table2456710" displayName="Table2456710" ref="A48:E53" totalsRowShown="0">
  <autoFilter ref="A48:E53" xr:uid="{968A0EE0-D2E6-40FF-9AF0-69C5E6FA3FC9}"/>
  <tableColumns count="5">
    <tableColumn id="1" xr3:uid="{78ADCDB2-5434-4CD9-8040-43958C07FFD7}" name="Model"/>
    <tableColumn id="2" xr3:uid="{78FB459D-403A-4F72-AD58-DEEC3C8D24F0}" name="Param"/>
    <tableColumn id="3" xr3:uid="{9E48522B-69D0-4892-99B0-7B6C2FE3022D}" name="Count"/>
    <tableColumn id="4" xr3:uid="{DAB0389E-86E1-4E14-8A39-27D41EC0A0E1}" name="CV Impact"/>
    <tableColumn id="5" xr3:uid="{33B98A4C-587F-43C0-9370-0E1F27C995FF}" name="Total">
      <calculatedColumnFormula>Table2456710[[#This Row],[Count]]*Table2456710[[#This Row],[CV Impact]]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C933AF9-60E8-47A9-94C6-F9555B19A245}" name="Table245671011" displayName="Table245671011" ref="A56:E59" totalsRowShown="0">
  <autoFilter ref="A56:E59" xr:uid="{414BD9B7-9E1F-459F-8A30-5636ED2AF7B1}"/>
  <tableColumns count="5">
    <tableColumn id="1" xr3:uid="{FBE88A15-68CB-4671-AB3A-313BB026FDDA}" name="Model"/>
    <tableColumn id="2" xr3:uid="{74F31DDF-65B5-40D5-AA7F-F8B25B151B2F}" name="Param"/>
    <tableColumn id="3" xr3:uid="{DF1382F4-D8FC-47FE-A13E-7166C268E63D}" name="Count"/>
    <tableColumn id="4" xr3:uid="{00633CFF-A141-4900-9408-A898D192E474}" name="CV Impact"/>
    <tableColumn id="5" xr3:uid="{3E508D22-6128-4A8B-9727-CE00E4FE95A1}" name="Total">
      <calculatedColumnFormula>Table245671011[[#This Row],[Count]]*Table245671011[[#This Row],[CV Impact]]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BD3AA4-55C0-4813-8A78-A00F96DA96DF}" name="Table245671012" displayName="Table245671012" ref="A62:E65" totalsRowShown="0">
  <autoFilter ref="A62:E65" xr:uid="{6BD36C94-957E-4B13-B96F-CEF956C6B3D7}"/>
  <tableColumns count="5">
    <tableColumn id="1" xr3:uid="{CF22FB7C-2A24-4C23-8E28-66D4F3CEE649}" name="Model"/>
    <tableColumn id="2" xr3:uid="{5E27DA7F-C622-45D6-9903-1F970227914A}" name="Param"/>
    <tableColumn id="3" xr3:uid="{A8C66C6D-F01C-4A59-975B-91B34F2E820E}" name="Count"/>
    <tableColumn id="4" xr3:uid="{9578E09D-3680-4D05-A385-E8A2FC0CE9AD}" name="CV Impact"/>
    <tableColumn id="5" xr3:uid="{B7F4A025-D0E3-491C-899D-C25A32456D57}" name="Total">
      <calculatedColumnFormula>Table245671012[[#This Row],[Count]]*Table245671012[[#This Row],[CV Impact]]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E3A02-8F18-4FF5-A575-8DC3E0CFAB6E}">
  <dimension ref="A1:I12"/>
  <sheetViews>
    <sheetView workbookViewId="0">
      <selection activeCell="B5" sqref="B5"/>
    </sheetView>
  </sheetViews>
  <sheetFormatPr defaultRowHeight="14.4" x14ac:dyDescent="0.3"/>
  <cols>
    <col min="1" max="1" width="22.77734375" bestFit="1" customWidth="1"/>
    <col min="4" max="4" width="11.5546875" customWidth="1"/>
    <col min="5" max="5" width="10.5546875" bestFit="1" customWidth="1"/>
    <col min="8" max="8" width="16.6640625" bestFit="1" customWidth="1"/>
    <col min="9" max="9" width="24.109375" bestFit="1" customWidth="1"/>
  </cols>
  <sheetData>
    <row r="1" spans="1:9" x14ac:dyDescent="0.3">
      <c r="A1" t="s">
        <v>22</v>
      </c>
      <c r="B1" t="s">
        <v>24</v>
      </c>
      <c r="C1" t="s">
        <v>23</v>
      </c>
      <c r="D1" t="s">
        <v>25</v>
      </c>
      <c r="E1" t="s">
        <v>26</v>
      </c>
      <c r="F1" t="s">
        <v>27</v>
      </c>
      <c r="G1" t="s">
        <v>28</v>
      </c>
    </row>
    <row r="2" spans="1:9" x14ac:dyDescent="0.3">
      <c r="A2" t="s">
        <v>52</v>
      </c>
      <c r="B2" s="3" t="s">
        <v>51</v>
      </c>
      <c r="C2">
        <v>0.708198931588368</v>
      </c>
      <c r="D2" t="s">
        <v>53</v>
      </c>
      <c r="E2">
        <v>0.77</v>
      </c>
      <c r="F2">
        <v>0.12</v>
      </c>
      <c r="G2">
        <v>0.71</v>
      </c>
      <c r="I2" s="1"/>
    </row>
    <row r="3" spans="1:9" x14ac:dyDescent="0.3">
      <c r="A3" s="4" t="s">
        <v>4</v>
      </c>
      <c r="B3" s="3" t="s">
        <v>29</v>
      </c>
      <c r="C3">
        <v>0.81245344382421902</v>
      </c>
      <c r="D3" t="s">
        <v>30</v>
      </c>
      <c r="E3">
        <v>0.75</v>
      </c>
      <c r="F3">
        <v>0.26</v>
      </c>
      <c r="G3">
        <v>0.61</v>
      </c>
    </row>
    <row r="4" spans="1:9" x14ac:dyDescent="0.3">
      <c r="A4" s="4" t="s">
        <v>38</v>
      </c>
      <c r="B4" t="s">
        <v>39</v>
      </c>
      <c r="C4">
        <v>0.70230553446314403</v>
      </c>
      <c r="D4" t="s">
        <v>40</v>
      </c>
      <c r="E4">
        <v>0.73</v>
      </c>
      <c r="F4">
        <v>0.21</v>
      </c>
      <c r="G4">
        <v>0.57999999999999996</v>
      </c>
      <c r="I4" s="2"/>
    </row>
    <row r="5" spans="1:9" x14ac:dyDescent="0.3">
      <c r="A5" s="4" t="s">
        <v>17</v>
      </c>
      <c r="B5" t="s">
        <v>47</v>
      </c>
      <c r="C5">
        <v>0.47216925017809502</v>
      </c>
      <c r="D5" t="s">
        <v>48</v>
      </c>
      <c r="E5">
        <v>0.67</v>
      </c>
      <c r="F5">
        <v>0.23</v>
      </c>
      <c r="G5">
        <v>0.62</v>
      </c>
    </row>
    <row r="6" spans="1:9" x14ac:dyDescent="0.3">
      <c r="A6" s="4" t="s">
        <v>21</v>
      </c>
      <c r="B6" t="s">
        <v>41</v>
      </c>
      <c r="C6">
        <v>0.47303083971005899</v>
      </c>
      <c r="D6" t="s">
        <v>42</v>
      </c>
      <c r="E6">
        <v>0.64</v>
      </c>
      <c r="F6">
        <v>0.26</v>
      </c>
      <c r="G6">
        <v>0.6</v>
      </c>
    </row>
    <row r="7" spans="1:9" x14ac:dyDescent="0.3">
      <c r="A7" s="4" t="s">
        <v>35</v>
      </c>
      <c r="B7" t="s">
        <v>36</v>
      </c>
      <c r="C7">
        <v>0.62753087742935199</v>
      </c>
      <c r="D7" t="s">
        <v>37</v>
      </c>
      <c r="E7">
        <v>0.63</v>
      </c>
      <c r="F7">
        <v>0.11</v>
      </c>
      <c r="G7">
        <v>0.74</v>
      </c>
    </row>
    <row r="8" spans="1:9" x14ac:dyDescent="0.3">
      <c r="A8" t="s">
        <v>18</v>
      </c>
      <c r="B8" t="s">
        <v>33</v>
      </c>
      <c r="C8">
        <v>0.39953156367604198</v>
      </c>
      <c r="D8" t="s">
        <v>34</v>
      </c>
      <c r="E8">
        <v>0.56000000000000005</v>
      </c>
      <c r="F8">
        <v>0.31</v>
      </c>
      <c r="G8">
        <v>0.27</v>
      </c>
    </row>
    <row r="9" spans="1:9" x14ac:dyDescent="0.3">
      <c r="A9" t="s">
        <v>15</v>
      </c>
      <c r="B9" t="s">
        <v>45</v>
      </c>
      <c r="C9">
        <v>0.187832220722673</v>
      </c>
      <c r="D9" t="s">
        <v>46</v>
      </c>
      <c r="E9">
        <v>0.19</v>
      </c>
      <c r="F9">
        <v>0.24</v>
      </c>
      <c r="G9">
        <v>0.26</v>
      </c>
    </row>
    <row r="10" spans="1:9" x14ac:dyDescent="0.3">
      <c r="A10" t="s">
        <v>15</v>
      </c>
      <c r="B10" t="s">
        <v>43</v>
      </c>
      <c r="C10">
        <v>0.18945780200992199</v>
      </c>
      <c r="D10" t="s">
        <v>44</v>
      </c>
      <c r="E10">
        <v>0.16</v>
      </c>
      <c r="F10">
        <v>0.13</v>
      </c>
      <c r="G10">
        <v>0.26</v>
      </c>
    </row>
    <row r="11" spans="1:9" x14ac:dyDescent="0.3">
      <c r="A11" t="s">
        <v>12</v>
      </c>
      <c r="B11" t="s">
        <v>31</v>
      </c>
      <c r="C11">
        <v>2.7694156345235898E-3</v>
      </c>
      <c r="D11" t="s">
        <v>32</v>
      </c>
      <c r="E11">
        <v>-0.05</v>
      </c>
      <c r="F11">
        <v>0.17</v>
      </c>
      <c r="G11">
        <v>-0.02</v>
      </c>
    </row>
    <row r="12" spans="1:9" x14ac:dyDescent="0.3">
      <c r="A12" t="s">
        <v>20</v>
      </c>
      <c r="B12" t="s">
        <v>49</v>
      </c>
      <c r="C12">
        <v>-4.9500656300847599</v>
      </c>
      <c r="D12" t="s">
        <v>50</v>
      </c>
      <c r="E12">
        <v>-1.77</v>
      </c>
      <c r="F12">
        <v>2.06</v>
      </c>
      <c r="G12">
        <v>-3.58</v>
      </c>
    </row>
  </sheetData>
  <autoFilter ref="A1:G1" xr:uid="{6A77E5FD-B661-430D-A5AB-930824BE3B18}">
    <sortState xmlns:xlrd2="http://schemas.microsoft.com/office/spreadsheetml/2017/richdata2" ref="A2:G12">
      <sortCondition descending="1" ref="E1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2734-D53D-49F2-9B09-21A8A35F1115}">
  <dimension ref="A1:L71"/>
  <sheetViews>
    <sheetView workbookViewId="0">
      <selection activeCell="G6" sqref="G6"/>
    </sheetView>
  </sheetViews>
  <sheetFormatPr defaultRowHeight="14.4" x14ac:dyDescent="0.3"/>
  <cols>
    <col min="4" max="4" width="11.5546875" customWidth="1"/>
    <col min="7" max="7" width="18.5546875" bestFit="1" customWidth="1"/>
    <col min="11" max="11" width="11.6640625" bestFit="1" customWidth="1"/>
  </cols>
  <sheetData>
    <row r="1" spans="1:12" x14ac:dyDescent="0.3">
      <c r="A1" t="s">
        <v>0</v>
      </c>
      <c r="B1" t="s">
        <v>54</v>
      </c>
      <c r="C1" t="s">
        <v>1</v>
      </c>
      <c r="D1" t="s">
        <v>2</v>
      </c>
      <c r="E1" t="s">
        <v>3</v>
      </c>
    </row>
    <row r="2" spans="1:12" x14ac:dyDescent="0.3">
      <c r="A2" t="s">
        <v>4</v>
      </c>
      <c r="B2" t="s">
        <v>5</v>
      </c>
      <c r="C2">
        <v>4</v>
      </c>
      <c r="D2">
        <v>1</v>
      </c>
      <c r="E2">
        <f>Table2[[#This Row],[Count]]*Table2[[#This Row],[CV Impact]]</f>
        <v>4</v>
      </c>
      <c r="G2" t="s">
        <v>13</v>
      </c>
      <c r="H2">
        <f>PRODUCT(Table2[Total])</f>
        <v>1440</v>
      </c>
      <c r="K2" t="s">
        <v>13</v>
      </c>
      <c r="L2">
        <f>SUMIF(G:G,G2,H:H)</f>
        <v>1932</v>
      </c>
    </row>
    <row r="3" spans="1:12" x14ac:dyDescent="0.3">
      <c r="A3" t="s">
        <v>4</v>
      </c>
      <c r="B3" t="s">
        <v>6</v>
      </c>
      <c r="C3">
        <v>2</v>
      </c>
      <c r="D3">
        <v>5</v>
      </c>
      <c r="E3">
        <f>Table2[[#This Row],[Count]]*Table2[[#This Row],[CV Impact]]</f>
        <v>10</v>
      </c>
    </row>
    <row r="4" spans="1:12" x14ac:dyDescent="0.3">
      <c r="A4" t="s">
        <v>4</v>
      </c>
      <c r="B4" t="s">
        <v>7</v>
      </c>
      <c r="C4">
        <v>1</v>
      </c>
      <c r="D4">
        <v>1</v>
      </c>
      <c r="E4">
        <f>Table2[[#This Row],[Count]]*Table2[[#This Row],[CV Impact]]</f>
        <v>1</v>
      </c>
      <c r="G4" t="s">
        <v>55</v>
      </c>
      <c r="H4">
        <f>H2*5</f>
        <v>7200</v>
      </c>
      <c r="K4" t="s">
        <v>55</v>
      </c>
      <c r="L4">
        <f>SUMIF(G:G,G4,H:H)</f>
        <v>9660</v>
      </c>
    </row>
    <row r="5" spans="1:12" x14ac:dyDescent="0.3">
      <c r="A5" t="s">
        <v>4</v>
      </c>
      <c r="B5" t="s">
        <v>8</v>
      </c>
      <c r="C5">
        <v>4</v>
      </c>
      <c r="D5">
        <v>1</v>
      </c>
      <c r="E5">
        <f>Table2[[#This Row],[Count]]*Table2[[#This Row],[CV Impact]]</f>
        <v>4</v>
      </c>
    </row>
    <row r="6" spans="1:12" x14ac:dyDescent="0.3">
      <c r="A6" t="s">
        <v>4</v>
      </c>
      <c r="B6" t="s">
        <v>9</v>
      </c>
      <c r="C6">
        <v>3</v>
      </c>
      <c r="D6">
        <v>1</v>
      </c>
      <c r="E6">
        <f>Table2[[#This Row],[Count]]*Table2[[#This Row],[CV Impact]]</f>
        <v>3</v>
      </c>
    </row>
    <row r="7" spans="1:12" x14ac:dyDescent="0.3">
      <c r="A7" t="s">
        <v>4</v>
      </c>
      <c r="B7" t="s">
        <v>10</v>
      </c>
      <c r="C7">
        <v>3</v>
      </c>
      <c r="D7">
        <v>1</v>
      </c>
      <c r="E7">
        <f>Table2[[#This Row],[Count]]*Table2[[#This Row],[CV Impact]]</f>
        <v>3</v>
      </c>
    </row>
    <row r="8" spans="1:12" x14ac:dyDescent="0.3">
      <c r="A8" t="s">
        <v>4</v>
      </c>
      <c r="B8" t="s">
        <v>11</v>
      </c>
      <c r="C8">
        <v>1</v>
      </c>
      <c r="D8">
        <v>1</v>
      </c>
      <c r="E8">
        <f>Table2[[#This Row],[Count]]*Table2[[#This Row],[CV Impact]]</f>
        <v>1</v>
      </c>
    </row>
    <row r="11" spans="1:12" x14ac:dyDescent="0.3">
      <c r="A11" t="s">
        <v>0</v>
      </c>
      <c r="B11" t="s">
        <v>54</v>
      </c>
      <c r="C11" t="s">
        <v>1</v>
      </c>
      <c r="D11" t="s">
        <v>2</v>
      </c>
      <c r="E11" t="s">
        <v>3</v>
      </c>
    </row>
    <row r="12" spans="1:12" x14ac:dyDescent="0.3">
      <c r="A12" t="s">
        <v>12</v>
      </c>
      <c r="B12" t="s">
        <v>5</v>
      </c>
      <c r="C12">
        <v>4</v>
      </c>
      <c r="D12">
        <v>1</v>
      </c>
      <c r="E12">
        <f>Table24[[#This Row],[Count]]*Table24[[#This Row],[CV Impact]]</f>
        <v>4</v>
      </c>
      <c r="G12" t="s">
        <v>13</v>
      </c>
      <c r="H12">
        <f>PRODUCT(Table24[Total])</f>
        <v>4</v>
      </c>
    </row>
    <row r="13" spans="1:12" x14ac:dyDescent="0.3">
      <c r="A13" t="s">
        <v>12</v>
      </c>
      <c r="B13" t="s">
        <v>6</v>
      </c>
      <c r="C13">
        <v>1</v>
      </c>
      <c r="D13">
        <v>1</v>
      </c>
      <c r="E13">
        <f>Table24[[#This Row],[Count]]*Table24[[#This Row],[CV Impact]]</f>
        <v>1</v>
      </c>
    </row>
    <row r="14" spans="1:12" x14ac:dyDescent="0.3">
      <c r="A14" t="s">
        <v>12</v>
      </c>
      <c r="B14" t="s">
        <v>7</v>
      </c>
      <c r="C14">
        <v>1</v>
      </c>
      <c r="D14">
        <v>1</v>
      </c>
      <c r="E14">
        <f>Table24[[#This Row],[Count]]*Table24[[#This Row],[CV Impact]]</f>
        <v>1</v>
      </c>
      <c r="G14" t="s">
        <v>55</v>
      </c>
      <c r="H14">
        <f>H12*5</f>
        <v>20</v>
      </c>
    </row>
    <row r="15" spans="1:12" x14ac:dyDescent="0.3">
      <c r="A15" t="s">
        <v>12</v>
      </c>
      <c r="B15" t="s">
        <v>14</v>
      </c>
      <c r="C15">
        <v>1</v>
      </c>
      <c r="D15">
        <v>1</v>
      </c>
      <c r="E15">
        <f>Table24[[#This Row],[Count]]*Table24[[#This Row],[CV Impact]]</f>
        <v>1</v>
      </c>
    </row>
    <row r="18" spans="1:8" x14ac:dyDescent="0.3">
      <c r="A18" t="s">
        <v>0</v>
      </c>
      <c r="B18" t="s">
        <v>54</v>
      </c>
      <c r="C18" t="s">
        <v>1</v>
      </c>
      <c r="D18" t="s">
        <v>2</v>
      </c>
      <c r="E18" t="s">
        <v>3</v>
      </c>
    </row>
    <row r="19" spans="1:8" x14ac:dyDescent="0.3">
      <c r="A19" t="s">
        <v>56</v>
      </c>
      <c r="B19" t="s">
        <v>5</v>
      </c>
      <c r="C19">
        <v>4</v>
      </c>
      <c r="D19">
        <v>1</v>
      </c>
      <c r="E19">
        <f>Table245[[#This Row],[Count]]*Table245[[#This Row],[CV Impact]]</f>
        <v>4</v>
      </c>
      <c r="G19" t="s">
        <v>13</v>
      </c>
      <c r="H19">
        <f>PRODUCT(Table245[Total])</f>
        <v>200</v>
      </c>
    </row>
    <row r="20" spans="1:8" x14ac:dyDescent="0.3">
      <c r="A20" t="s">
        <v>56</v>
      </c>
      <c r="B20" t="s">
        <v>6</v>
      </c>
      <c r="C20">
        <v>2</v>
      </c>
      <c r="D20">
        <v>5</v>
      </c>
      <c r="E20">
        <f>Table245[[#This Row],[Count]]*Table245[[#This Row],[CV Impact]]</f>
        <v>10</v>
      </c>
    </row>
    <row r="21" spans="1:8" x14ac:dyDescent="0.3">
      <c r="A21" t="s">
        <v>56</v>
      </c>
      <c r="B21" t="s">
        <v>7</v>
      </c>
      <c r="C21">
        <v>1</v>
      </c>
      <c r="D21">
        <v>1</v>
      </c>
      <c r="E21">
        <f>Table245[[#This Row],[Count]]*Table245[[#This Row],[CV Impact]]</f>
        <v>1</v>
      </c>
      <c r="G21" t="s">
        <v>55</v>
      </c>
      <c r="H21">
        <f>H19*5</f>
        <v>1000</v>
      </c>
    </row>
    <row r="22" spans="1:8" x14ac:dyDescent="0.3">
      <c r="A22" t="s">
        <v>56</v>
      </c>
      <c r="B22" t="s">
        <v>14</v>
      </c>
      <c r="C22">
        <v>1</v>
      </c>
      <c r="D22">
        <v>1</v>
      </c>
      <c r="E22">
        <f>Table245[[#This Row],[Count]]*Table245[[#This Row],[CV Impact]]</f>
        <v>1</v>
      </c>
    </row>
    <row r="23" spans="1:8" x14ac:dyDescent="0.3">
      <c r="A23" t="s">
        <v>56</v>
      </c>
      <c r="B23" t="s">
        <v>16</v>
      </c>
      <c r="C23">
        <v>5</v>
      </c>
      <c r="D23">
        <v>1</v>
      </c>
      <c r="E23">
        <f>Table245[[#This Row],[Count]]*Table245[[#This Row],[CV Impact]]</f>
        <v>5</v>
      </c>
    </row>
    <row r="26" spans="1:8" x14ac:dyDescent="0.3">
      <c r="A26" t="s">
        <v>0</v>
      </c>
      <c r="B26" t="s">
        <v>54</v>
      </c>
      <c r="C26" t="s">
        <v>1</v>
      </c>
      <c r="D26" t="s">
        <v>2</v>
      </c>
      <c r="E26" t="s">
        <v>3</v>
      </c>
    </row>
    <row r="27" spans="1:8" x14ac:dyDescent="0.3">
      <c r="A27" t="s">
        <v>15</v>
      </c>
      <c r="B27" t="s">
        <v>5</v>
      </c>
      <c r="C27">
        <v>4</v>
      </c>
      <c r="D27">
        <v>1</v>
      </c>
      <c r="E27">
        <f>Table2456[[#This Row],[Count]]*Table2456[[#This Row],[CV Impact]]</f>
        <v>4</v>
      </c>
      <c r="G27" t="s">
        <v>13</v>
      </c>
      <c r="H27">
        <f>PRODUCT(Table2456[Total])</f>
        <v>40</v>
      </c>
    </row>
    <row r="28" spans="1:8" x14ac:dyDescent="0.3">
      <c r="A28" t="s">
        <v>15</v>
      </c>
      <c r="B28" t="s">
        <v>6</v>
      </c>
      <c r="C28">
        <v>1</v>
      </c>
      <c r="D28">
        <v>1</v>
      </c>
      <c r="E28">
        <f>Table2456[[#This Row],[Count]]*Table2456[[#This Row],[CV Impact]]</f>
        <v>1</v>
      </c>
    </row>
    <row r="29" spans="1:8" x14ac:dyDescent="0.3">
      <c r="A29" t="s">
        <v>15</v>
      </c>
      <c r="B29" t="s">
        <v>7</v>
      </c>
      <c r="C29">
        <v>1</v>
      </c>
      <c r="D29">
        <v>1</v>
      </c>
      <c r="E29">
        <f>Table2456[[#This Row],[Count]]*Table2456[[#This Row],[CV Impact]]</f>
        <v>1</v>
      </c>
      <c r="G29" t="s">
        <v>55</v>
      </c>
      <c r="H29">
        <f>H27*5</f>
        <v>200</v>
      </c>
    </row>
    <row r="30" spans="1:8" x14ac:dyDescent="0.3">
      <c r="A30" t="s">
        <v>15</v>
      </c>
      <c r="B30" t="s">
        <v>14</v>
      </c>
      <c r="C30">
        <v>2</v>
      </c>
      <c r="D30">
        <v>1</v>
      </c>
      <c r="E30">
        <f>Table2456[[#This Row],[Count]]*Table2456[[#This Row],[CV Impact]]</f>
        <v>2</v>
      </c>
    </row>
    <row r="31" spans="1:8" x14ac:dyDescent="0.3">
      <c r="A31" t="s">
        <v>15</v>
      </c>
      <c r="B31" t="s">
        <v>16</v>
      </c>
      <c r="C31">
        <v>5</v>
      </c>
      <c r="D31">
        <v>1</v>
      </c>
      <c r="E31">
        <f>Table2456[[#This Row],[Count]]*Table2456[[#This Row],[CV Impact]]</f>
        <v>5</v>
      </c>
    </row>
    <row r="34" spans="1:8" x14ac:dyDescent="0.3">
      <c r="A34" t="s">
        <v>0</v>
      </c>
      <c r="B34" t="s">
        <v>54</v>
      </c>
      <c r="C34" t="s">
        <v>1</v>
      </c>
      <c r="D34" t="s">
        <v>2</v>
      </c>
      <c r="E34" t="s">
        <v>3</v>
      </c>
    </row>
    <row r="35" spans="1:8" x14ac:dyDescent="0.3">
      <c r="A35" t="s">
        <v>17</v>
      </c>
      <c r="B35" t="s">
        <v>5</v>
      </c>
      <c r="C35">
        <v>4</v>
      </c>
      <c r="D35">
        <v>1</v>
      </c>
      <c r="E35">
        <f>Table24567[[#This Row],[Count]]*Table24567[[#This Row],[CV Impact]]</f>
        <v>4</v>
      </c>
      <c r="G35" t="s">
        <v>13</v>
      </c>
      <c r="H35">
        <f>PRODUCT(Table24567[Total])</f>
        <v>100</v>
      </c>
    </row>
    <row r="36" spans="1:8" x14ac:dyDescent="0.3">
      <c r="A36" t="s">
        <v>17</v>
      </c>
      <c r="B36" t="s">
        <v>6</v>
      </c>
      <c r="C36">
        <v>1</v>
      </c>
      <c r="D36">
        <v>1</v>
      </c>
      <c r="E36">
        <f>Table24567[[#This Row],[Count]]*Table24567[[#This Row],[CV Impact]]</f>
        <v>1</v>
      </c>
    </row>
    <row r="37" spans="1:8" x14ac:dyDescent="0.3">
      <c r="A37" t="s">
        <v>17</v>
      </c>
      <c r="B37" t="s">
        <v>7</v>
      </c>
      <c r="C37">
        <v>1</v>
      </c>
      <c r="D37">
        <v>1</v>
      </c>
      <c r="E37">
        <f>Table24567[[#This Row],[Count]]*Table24567[[#This Row],[CV Impact]]</f>
        <v>1</v>
      </c>
      <c r="G37" t="s">
        <v>55</v>
      </c>
      <c r="H37">
        <f>H35*5</f>
        <v>500</v>
      </c>
    </row>
    <row r="38" spans="1:8" x14ac:dyDescent="0.3">
      <c r="A38" t="s">
        <v>17</v>
      </c>
      <c r="B38" t="s">
        <v>57</v>
      </c>
      <c r="C38">
        <v>5</v>
      </c>
      <c r="D38">
        <v>1</v>
      </c>
      <c r="E38">
        <f>Table24567[[#This Row],[Count]]*Table24567[[#This Row],[CV Impact]]</f>
        <v>5</v>
      </c>
    </row>
    <row r="39" spans="1:8" x14ac:dyDescent="0.3">
      <c r="A39" t="s">
        <v>17</v>
      </c>
      <c r="B39" t="s">
        <v>58</v>
      </c>
      <c r="C39">
        <v>5</v>
      </c>
      <c r="D39">
        <v>1</v>
      </c>
      <c r="E39">
        <f>Table24567[[#This Row],[Count]]*Table24567[[#This Row],[CV Impact]]</f>
        <v>5</v>
      </c>
    </row>
    <row r="42" spans="1:8" x14ac:dyDescent="0.3">
      <c r="A42" t="s">
        <v>0</v>
      </c>
      <c r="B42" t="s">
        <v>54</v>
      </c>
      <c r="C42" t="s">
        <v>1</v>
      </c>
      <c r="D42" t="s">
        <v>2</v>
      </c>
      <c r="E42" t="s">
        <v>3</v>
      </c>
    </row>
    <row r="43" spans="1:8" x14ac:dyDescent="0.3">
      <c r="A43" t="s">
        <v>18</v>
      </c>
      <c r="B43" t="s">
        <v>5</v>
      </c>
      <c r="C43">
        <v>4</v>
      </c>
      <c r="D43">
        <v>1</v>
      </c>
      <c r="E43">
        <f>Table245679[[#This Row],[Count]]*Table245679[[#This Row],[CV Impact]]</f>
        <v>4</v>
      </c>
      <c r="G43" t="s">
        <v>13</v>
      </c>
      <c r="H43">
        <f>PRODUCT(Table245679[Total])</f>
        <v>40</v>
      </c>
    </row>
    <row r="44" spans="1:8" x14ac:dyDescent="0.3">
      <c r="A44" t="s">
        <v>18</v>
      </c>
      <c r="B44" t="s">
        <v>6</v>
      </c>
      <c r="C44">
        <v>2</v>
      </c>
      <c r="D44">
        <v>5</v>
      </c>
      <c r="E44">
        <f>Table245679[[#This Row],[Count]]*Table245679[[#This Row],[CV Impact]]</f>
        <v>10</v>
      </c>
    </row>
    <row r="45" spans="1:8" x14ac:dyDescent="0.3">
      <c r="A45" t="s">
        <v>18</v>
      </c>
      <c r="B45" t="s">
        <v>7</v>
      </c>
      <c r="C45">
        <v>1</v>
      </c>
      <c r="D45">
        <v>1</v>
      </c>
      <c r="E45">
        <f>Table245679[[#This Row],[Count]]*Table245679[[#This Row],[CV Impact]]</f>
        <v>1</v>
      </c>
      <c r="G45" t="s">
        <v>55</v>
      </c>
      <c r="H45">
        <f>H43*5</f>
        <v>200</v>
      </c>
    </row>
    <row r="48" spans="1:8" x14ac:dyDescent="0.3">
      <c r="A48" t="s">
        <v>0</v>
      </c>
      <c r="B48" t="s">
        <v>54</v>
      </c>
      <c r="C48" t="s">
        <v>1</v>
      </c>
      <c r="D48" t="s">
        <v>2</v>
      </c>
      <c r="E48" t="s">
        <v>3</v>
      </c>
    </row>
    <row r="49" spans="1:8" x14ac:dyDescent="0.3">
      <c r="A49" t="s">
        <v>19</v>
      </c>
      <c r="B49" t="s">
        <v>5</v>
      </c>
      <c r="C49">
        <v>4</v>
      </c>
      <c r="D49">
        <v>1</v>
      </c>
      <c r="E49">
        <f>Table2456710[[#This Row],[Count]]*Table2456710[[#This Row],[CV Impact]]</f>
        <v>4</v>
      </c>
      <c r="G49" t="s">
        <v>13</v>
      </c>
      <c r="H49">
        <f>PRODUCT(Table2456710[Total])</f>
        <v>24</v>
      </c>
    </row>
    <row r="50" spans="1:8" x14ac:dyDescent="0.3">
      <c r="A50" t="s">
        <v>19</v>
      </c>
      <c r="B50" t="s">
        <v>6</v>
      </c>
      <c r="C50">
        <v>1</v>
      </c>
      <c r="D50">
        <v>1</v>
      </c>
      <c r="E50">
        <f>Table2456710[[#This Row],[Count]]*Table2456710[[#This Row],[CV Impact]]</f>
        <v>1</v>
      </c>
    </row>
    <row r="51" spans="1:8" x14ac:dyDescent="0.3">
      <c r="A51" t="s">
        <v>19</v>
      </c>
      <c r="B51" t="s">
        <v>7</v>
      </c>
      <c r="C51">
        <v>1</v>
      </c>
      <c r="D51">
        <v>1</v>
      </c>
      <c r="E51">
        <f>Table2456710[[#This Row],[Count]]*Table2456710[[#This Row],[CV Impact]]</f>
        <v>1</v>
      </c>
      <c r="G51" t="s">
        <v>55</v>
      </c>
      <c r="H51">
        <f>H49*5</f>
        <v>120</v>
      </c>
    </row>
    <row r="52" spans="1:8" x14ac:dyDescent="0.3">
      <c r="A52" t="s">
        <v>19</v>
      </c>
      <c r="B52" t="s">
        <v>57</v>
      </c>
      <c r="C52">
        <v>3</v>
      </c>
      <c r="D52">
        <v>1</v>
      </c>
      <c r="E52">
        <f>Table2456710[[#This Row],[Count]]*Table2456710[[#This Row],[CV Impact]]</f>
        <v>3</v>
      </c>
    </row>
    <row r="53" spans="1:8" x14ac:dyDescent="0.3">
      <c r="A53" t="s">
        <v>19</v>
      </c>
      <c r="B53" t="s">
        <v>58</v>
      </c>
      <c r="C53">
        <v>2</v>
      </c>
      <c r="D53">
        <v>1</v>
      </c>
      <c r="E53">
        <f>Table2456710[[#This Row],[Count]]*Table2456710[[#This Row],[CV Impact]]</f>
        <v>2</v>
      </c>
    </row>
    <row r="56" spans="1:8" x14ac:dyDescent="0.3">
      <c r="A56" t="s">
        <v>0</v>
      </c>
      <c r="B56" t="s">
        <v>54</v>
      </c>
      <c r="C56" t="s">
        <v>1</v>
      </c>
      <c r="D56" t="s">
        <v>2</v>
      </c>
      <c r="E56" t="s">
        <v>3</v>
      </c>
    </row>
    <row r="57" spans="1:8" x14ac:dyDescent="0.3">
      <c r="A57" t="s">
        <v>38</v>
      </c>
      <c r="B57" t="s">
        <v>5</v>
      </c>
      <c r="C57">
        <v>4</v>
      </c>
      <c r="D57">
        <v>1</v>
      </c>
      <c r="E57">
        <f>Table245671011[[#This Row],[Count]]*Table245671011[[#This Row],[CV Impact]]</f>
        <v>4</v>
      </c>
      <c r="G57" t="s">
        <v>13</v>
      </c>
      <c r="H57">
        <f>PRODUCT(Table245671011[Total])</f>
        <v>40</v>
      </c>
    </row>
    <row r="58" spans="1:8" x14ac:dyDescent="0.3">
      <c r="A58" t="s">
        <v>38</v>
      </c>
      <c r="B58" t="s">
        <v>6</v>
      </c>
      <c r="C58">
        <v>2</v>
      </c>
      <c r="D58">
        <v>5</v>
      </c>
      <c r="E58">
        <f>Table245671011[[#This Row],[Count]]*Table245671011[[#This Row],[CV Impact]]</f>
        <v>10</v>
      </c>
    </row>
    <row r="59" spans="1:8" x14ac:dyDescent="0.3">
      <c r="A59" t="s">
        <v>38</v>
      </c>
      <c r="B59" t="s">
        <v>7</v>
      </c>
      <c r="C59">
        <v>1</v>
      </c>
      <c r="D59">
        <v>1</v>
      </c>
      <c r="E59">
        <f>Table245671011[[#This Row],[Count]]*Table245671011[[#This Row],[CV Impact]]</f>
        <v>1</v>
      </c>
      <c r="G59" t="s">
        <v>55</v>
      </c>
      <c r="H59">
        <f>H57*5</f>
        <v>200</v>
      </c>
    </row>
    <row r="62" spans="1:8" x14ac:dyDescent="0.3">
      <c r="A62" t="s">
        <v>0</v>
      </c>
      <c r="B62" t="s">
        <v>54</v>
      </c>
      <c r="C62" t="s">
        <v>1</v>
      </c>
      <c r="D62" t="s">
        <v>2</v>
      </c>
      <c r="E62" t="s">
        <v>3</v>
      </c>
    </row>
    <row r="63" spans="1:8" x14ac:dyDescent="0.3">
      <c r="A63" t="s">
        <v>20</v>
      </c>
      <c r="B63" t="s">
        <v>5</v>
      </c>
      <c r="C63">
        <v>4</v>
      </c>
      <c r="D63">
        <v>1</v>
      </c>
      <c r="E63">
        <f>Table245671012[[#This Row],[Count]]*Table245671012[[#This Row],[CV Impact]]</f>
        <v>4</v>
      </c>
      <c r="G63" t="s">
        <v>13</v>
      </c>
      <c r="H63">
        <f>PRODUCT(Table245671012[Total])</f>
        <v>4</v>
      </c>
    </row>
    <row r="64" spans="1:8" x14ac:dyDescent="0.3">
      <c r="A64" t="s">
        <v>20</v>
      </c>
      <c r="B64" t="s">
        <v>6</v>
      </c>
      <c r="C64">
        <v>1</v>
      </c>
      <c r="D64">
        <v>1</v>
      </c>
      <c r="E64">
        <f>Table245671012[[#This Row],[Count]]*Table245671012[[#This Row],[CV Impact]]</f>
        <v>1</v>
      </c>
    </row>
    <row r="65" spans="1:8" x14ac:dyDescent="0.3">
      <c r="A65" t="s">
        <v>20</v>
      </c>
      <c r="B65" t="s">
        <v>7</v>
      </c>
      <c r="C65">
        <v>1</v>
      </c>
      <c r="D65">
        <v>1</v>
      </c>
      <c r="E65">
        <f>Table245671012[[#This Row],[Count]]*Table245671012[[#This Row],[CV Impact]]</f>
        <v>1</v>
      </c>
      <c r="G65" t="s">
        <v>55</v>
      </c>
      <c r="H65">
        <f>H63*5</f>
        <v>20</v>
      </c>
    </row>
    <row r="68" spans="1:8" x14ac:dyDescent="0.3">
      <c r="A68" t="s">
        <v>0</v>
      </c>
      <c r="B68" t="s">
        <v>54</v>
      </c>
      <c r="C68" t="s">
        <v>1</v>
      </c>
      <c r="D68" t="s">
        <v>2</v>
      </c>
      <c r="E68" t="s">
        <v>3</v>
      </c>
    </row>
    <row r="69" spans="1:8" x14ac:dyDescent="0.3">
      <c r="A69" t="s">
        <v>21</v>
      </c>
      <c r="B69" t="s">
        <v>5</v>
      </c>
      <c r="C69">
        <v>4</v>
      </c>
      <c r="D69">
        <v>1</v>
      </c>
      <c r="E69">
        <f>Table24567101213[[#This Row],[Count]]*Table24567101213[[#This Row],[CV Impact]]</f>
        <v>4</v>
      </c>
      <c r="G69" t="s">
        <v>13</v>
      </c>
      <c r="H69">
        <f>PRODUCT(Table24567101213[Total])</f>
        <v>40</v>
      </c>
    </row>
    <row r="70" spans="1:8" x14ac:dyDescent="0.3">
      <c r="A70" t="s">
        <v>21</v>
      </c>
      <c r="B70" t="s">
        <v>6</v>
      </c>
      <c r="C70">
        <v>2</v>
      </c>
      <c r="D70">
        <v>5</v>
      </c>
      <c r="E70">
        <f>Table24567101213[[#This Row],[Count]]*Table24567101213[[#This Row],[CV Impact]]</f>
        <v>10</v>
      </c>
    </row>
    <row r="71" spans="1:8" x14ac:dyDescent="0.3">
      <c r="A71" t="s">
        <v>21</v>
      </c>
      <c r="B71" t="s">
        <v>7</v>
      </c>
      <c r="C71">
        <v>1</v>
      </c>
      <c r="D71">
        <v>1</v>
      </c>
      <c r="E71">
        <f>Table24567101213[[#This Row],[Count]]*Table24567101213[[#This Row],[CV Impact]]</f>
        <v>1</v>
      </c>
      <c r="G71" t="s">
        <v>55</v>
      </c>
      <c r="H71">
        <f>H69*5</f>
        <v>200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83AB0-5EBC-46F5-9805-FA3FE3C05783}">
  <dimension ref="A1:AA5"/>
  <sheetViews>
    <sheetView tabSelected="1" workbookViewId="0">
      <selection activeCell="A5" sqref="A5:AA5"/>
    </sheetView>
  </sheetViews>
  <sheetFormatPr defaultRowHeight="14.4" x14ac:dyDescent="0.3"/>
  <sheetData>
    <row r="1" spans="1:27" x14ac:dyDescent="0.3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</row>
    <row r="2" spans="1:27" x14ac:dyDescent="0.3">
      <c r="A2">
        <v>199</v>
      </c>
      <c r="B2">
        <v>28.143501234054501</v>
      </c>
      <c r="C2">
        <v>1.2808759500349201</v>
      </c>
      <c r="D2">
        <v>0.50410962104797297</v>
      </c>
      <c r="E2">
        <v>0.102131867768849</v>
      </c>
      <c r="F2" t="s">
        <v>86</v>
      </c>
      <c r="G2" t="s">
        <v>87</v>
      </c>
      <c r="H2">
        <v>6</v>
      </c>
      <c r="I2">
        <v>1000</v>
      </c>
      <c r="J2">
        <v>0.05</v>
      </c>
      <c r="K2" t="s">
        <v>88</v>
      </c>
      <c r="L2" t="s">
        <v>89</v>
      </c>
      <c r="S2" t="s">
        <v>90</v>
      </c>
      <c r="T2">
        <v>0.83413095513975</v>
      </c>
      <c r="U2">
        <v>0.81514744829208996</v>
      </c>
      <c r="V2">
        <v>0.79639947965033897</v>
      </c>
      <c r="W2">
        <v>0.75245018041153</v>
      </c>
      <c r="X2">
        <v>0.86413915562738697</v>
      </c>
      <c r="Y2">
        <v>0.81245344382421902</v>
      </c>
      <c r="Z2">
        <v>3.7434493044187903E-2</v>
      </c>
      <c r="AA2">
        <v>1</v>
      </c>
    </row>
    <row r="3" spans="1:27" x14ac:dyDescent="0.3">
      <c r="A3">
        <v>883</v>
      </c>
      <c r="B3">
        <v>27.453352069854699</v>
      </c>
      <c r="C3">
        <v>2.8476976291124201</v>
      </c>
      <c r="D3">
        <v>3.4006929397582999E-2</v>
      </c>
      <c r="E3">
        <v>2.9698372617828501E-2</v>
      </c>
      <c r="F3" t="s">
        <v>91</v>
      </c>
      <c r="G3" t="s">
        <v>92</v>
      </c>
      <c r="L3" t="s">
        <v>89</v>
      </c>
      <c r="S3" t="s">
        <v>93</v>
      </c>
      <c r="T3">
        <v>0.76473566483540101</v>
      </c>
      <c r="U3">
        <v>0.62090423934913197</v>
      </c>
      <c r="V3">
        <v>0.66468756667106799</v>
      </c>
      <c r="W3">
        <v>0.62695913606804798</v>
      </c>
      <c r="X3">
        <v>0.83174849779140003</v>
      </c>
      <c r="Y3">
        <v>0.70180702094300995</v>
      </c>
      <c r="Z3">
        <v>8.2909735801056705E-2</v>
      </c>
      <c r="AA3">
        <v>409</v>
      </c>
    </row>
    <row r="4" spans="1:27" x14ac:dyDescent="0.3">
      <c r="A4">
        <v>853</v>
      </c>
      <c r="B4">
        <v>2.0004272460937499E-3</v>
      </c>
      <c r="C4" s="5">
        <v>1.16800772799643E-7</v>
      </c>
      <c r="D4">
        <v>2.0004272460937499E-3</v>
      </c>
      <c r="E4" s="5">
        <v>1.16800772799643E-7</v>
      </c>
      <c r="F4" t="s">
        <v>94</v>
      </c>
      <c r="G4" t="s">
        <v>95</v>
      </c>
      <c r="L4" t="s">
        <v>96</v>
      </c>
      <c r="Q4">
        <v>5</v>
      </c>
      <c r="R4" t="s">
        <v>97</v>
      </c>
      <c r="S4" t="s">
        <v>98</v>
      </c>
      <c r="T4">
        <v>0.65040725760930695</v>
      </c>
      <c r="U4">
        <v>0.65669946397860801</v>
      </c>
      <c r="V4">
        <v>0.47054208069470099</v>
      </c>
      <c r="W4">
        <v>0.64154435471387905</v>
      </c>
      <c r="X4">
        <v>0.71846123015026697</v>
      </c>
      <c r="Y4">
        <v>0.62753087742935199</v>
      </c>
      <c r="Z4">
        <v>8.3047364922875899E-2</v>
      </c>
      <c r="AA4">
        <v>445</v>
      </c>
    </row>
    <row r="5" spans="1:27" x14ac:dyDescent="0.3">
      <c r="A5">
        <v>632</v>
      </c>
      <c r="B5">
        <v>2.5805568695068299E-2</v>
      </c>
      <c r="C5">
        <v>2.7299655734092799E-2</v>
      </c>
      <c r="D5">
        <v>2.8006553649902299E-3</v>
      </c>
      <c r="E5">
        <v>3.0599942052584898E-3</v>
      </c>
      <c r="F5" t="s">
        <v>94</v>
      </c>
      <c r="G5" t="s">
        <v>99</v>
      </c>
      <c r="L5" t="s">
        <v>100</v>
      </c>
      <c r="O5">
        <v>100</v>
      </c>
      <c r="P5">
        <v>1</v>
      </c>
      <c r="S5" t="s">
        <v>101</v>
      </c>
      <c r="T5">
        <v>0.53307520615194304</v>
      </c>
      <c r="U5">
        <v>0.34635506836485502</v>
      </c>
      <c r="V5">
        <v>0.46628910683548602</v>
      </c>
      <c r="W5">
        <v>0.54875180339381502</v>
      </c>
      <c r="X5">
        <v>0.46637506614437602</v>
      </c>
      <c r="Y5">
        <v>0.47216925017809502</v>
      </c>
      <c r="Z5">
        <v>7.1374757344327494E-2</v>
      </c>
      <c r="AA5">
        <v>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Nyquist</dc:creator>
  <cp:lastModifiedBy>Erik Nyquist</cp:lastModifiedBy>
  <dcterms:created xsi:type="dcterms:W3CDTF">2020-12-15T14:38:47Z</dcterms:created>
  <dcterms:modified xsi:type="dcterms:W3CDTF">2020-12-16T02:48:55Z</dcterms:modified>
</cp:coreProperties>
</file>