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3_ncr:1_{361F4ADB-3F91-514D-A19C-C34B1E0F8BD0}" xr6:coauthVersionLast="47" xr6:coauthVersionMax="47" xr10:uidLastSave="{00000000-0000-0000-0000-000000000000}"/>
  <bookViews>
    <workbookView xWindow="360" yWindow="860" windowWidth="29400" windowHeight="170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9" i="1" l="1"/>
  <c r="T89" i="1"/>
  <c r="N90" i="1"/>
  <c r="N91" i="1"/>
  <c r="N92" i="1"/>
  <c r="N93" i="1"/>
  <c r="N89" i="1"/>
  <c r="I96" i="1"/>
  <c r="I97" i="1"/>
  <c r="I98" i="1"/>
  <c r="I99" i="1"/>
  <c r="I95" i="1"/>
  <c r="U90" i="1" l="1"/>
  <c r="U91" i="1"/>
  <c r="U92" i="1"/>
  <c r="U93" i="1"/>
  <c r="U89" i="1"/>
  <c r="T90" i="1"/>
  <c r="T91" i="1"/>
  <c r="T92" i="1"/>
  <c r="T93" i="1"/>
  <c r="S80" i="1"/>
  <c r="M76" i="1"/>
  <c r="S82" i="1" s="1"/>
  <c r="J115" i="1"/>
  <c r="N108" i="1"/>
  <c r="N109" i="1"/>
  <c r="N110" i="1"/>
  <c r="N111" i="1"/>
  <c r="N112" i="1"/>
  <c r="N113" i="1"/>
  <c r="N107" i="1"/>
  <c r="K108" i="1"/>
  <c r="K109" i="1"/>
  <c r="K110" i="1"/>
  <c r="K111" i="1"/>
  <c r="K112" i="1"/>
  <c r="K113" i="1"/>
  <c r="K107" i="1"/>
  <c r="K102" i="1"/>
  <c r="K103" i="1"/>
  <c r="K104" i="1"/>
  <c r="K105" i="1"/>
  <c r="K101" i="1"/>
  <c r="R96" i="1"/>
  <c r="R97" i="1"/>
  <c r="R98" i="1"/>
  <c r="R99" i="1"/>
  <c r="R95" i="1"/>
  <c r="K96" i="1"/>
  <c r="K97" i="1"/>
  <c r="K98" i="1"/>
  <c r="K99" i="1"/>
  <c r="K95" i="1"/>
  <c r="S90" i="1"/>
  <c r="S91" i="1"/>
  <c r="S92" i="1"/>
  <c r="S93" i="1"/>
  <c r="K90" i="1"/>
  <c r="K91" i="1"/>
  <c r="K92" i="1"/>
  <c r="K93" i="1"/>
  <c r="K89" i="1"/>
  <c r="T81" i="1"/>
  <c r="T82" i="1"/>
  <c r="T83" i="1"/>
  <c r="T84" i="1"/>
  <c r="T85" i="1"/>
  <c r="T86" i="1"/>
  <c r="T80" i="1"/>
  <c r="Q80" i="1"/>
  <c r="Q81" i="1"/>
  <c r="Q82" i="1"/>
  <c r="Q83" i="1"/>
  <c r="Q84" i="1"/>
  <c r="Q85" i="1"/>
  <c r="Q86" i="1"/>
  <c r="O81" i="1"/>
  <c r="O82" i="1"/>
  <c r="O83" i="1"/>
  <c r="O84" i="1"/>
  <c r="O85" i="1"/>
  <c r="O86" i="1"/>
  <c r="O80" i="1"/>
  <c r="K81" i="1"/>
  <c r="K82" i="1"/>
  <c r="K83" i="1"/>
  <c r="K84" i="1"/>
  <c r="K85" i="1"/>
  <c r="K86" i="1"/>
  <c r="K80" i="1"/>
  <c r="L72" i="1"/>
  <c r="L73" i="1"/>
  <c r="L74" i="1"/>
  <c r="L71" i="1"/>
  <c r="H61" i="1"/>
  <c r="H59" i="1"/>
  <c r="H53" i="1"/>
  <c r="H48" i="1"/>
  <c r="I48" i="1" s="1"/>
  <c r="H46" i="1"/>
  <c r="H45" i="1"/>
  <c r="H47" i="1" s="1"/>
  <c r="H44" i="1"/>
  <c r="I61" i="1"/>
  <c r="I59" i="1"/>
  <c r="I57" i="1"/>
  <c r="I56" i="1"/>
  <c r="I55" i="1"/>
  <c r="I54" i="1"/>
  <c r="I53" i="1"/>
  <c r="I52" i="1"/>
  <c r="I51" i="1"/>
  <c r="I50" i="1"/>
  <c r="I46" i="1"/>
  <c r="I45" i="1"/>
  <c r="I44" i="1"/>
  <c r="I43" i="1"/>
  <c r="S84" i="1" l="1"/>
  <c r="S83" i="1"/>
  <c r="S81" i="1"/>
  <c r="S86" i="1"/>
  <c r="M77" i="1"/>
  <c r="S85" i="1"/>
  <c r="I47" i="1"/>
  <c r="H49" i="1"/>
  <c r="I49" i="1" l="1"/>
  <c r="H58" i="1"/>
  <c r="I58" i="1" l="1"/>
  <c r="H60" i="1"/>
  <c r="H62" i="1" l="1"/>
  <c r="I62" i="1" s="1"/>
  <c r="I60" i="1"/>
  <c r="F4" i="1" l="1"/>
  <c r="C34" i="1"/>
  <c r="E34" i="1" s="1"/>
  <c r="F5" i="1"/>
  <c r="F14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C39" i="1"/>
  <c r="B5" i="1"/>
  <c r="B6" i="1"/>
  <c r="B11" i="1"/>
  <c r="B12" i="1"/>
  <c r="B13" i="1"/>
  <c r="B15" i="1"/>
  <c r="B16" i="1"/>
  <c r="B17" i="1"/>
  <c r="B18" i="1"/>
  <c r="B22" i="1"/>
  <c r="B4" i="1"/>
  <c r="C32" i="1"/>
  <c r="B32" i="1"/>
  <c r="D32" i="1"/>
  <c r="C35" i="1" s="1"/>
  <c r="A22" i="1"/>
  <c r="A20" i="1"/>
  <c r="B20" i="1" s="1"/>
  <c r="A14" i="1"/>
  <c r="B14" i="1" s="1"/>
  <c r="A9" i="1"/>
  <c r="B9" i="1" s="1"/>
  <c r="A7" i="1"/>
  <c r="B7" i="1" s="1"/>
  <c r="A5" i="1"/>
  <c r="A6" i="1"/>
  <c r="C12" i="1" l="1"/>
  <c r="C5" i="1"/>
  <c r="C13" i="1"/>
  <c r="C16" i="1"/>
  <c r="C17" i="1"/>
  <c r="C11" i="1"/>
  <c r="C20" i="1"/>
  <c r="C6" i="1"/>
  <c r="C14" i="1"/>
  <c r="C22" i="1"/>
  <c r="C15" i="1"/>
  <c r="C4" i="1"/>
  <c r="C7" i="1"/>
  <c r="C8" i="1"/>
  <c r="C9" i="1"/>
  <c r="C18" i="1"/>
  <c r="C36" i="1"/>
  <c r="D18" i="1"/>
  <c r="D14" i="1"/>
  <c r="D16" i="1"/>
  <c r="D9" i="1"/>
  <c r="D15" i="1"/>
  <c r="C37" i="1"/>
  <c r="D17" i="1"/>
  <c r="D22" i="1"/>
  <c r="D20" i="1"/>
  <c r="D4" i="1"/>
  <c r="D12" i="1"/>
  <c r="D11" i="1"/>
  <c r="D13" i="1"/>
  <c r="D8" i="1"/>
  <c r="D7" i="1"/>
  <c r="D6" i="1"/>
  <c r="D5" i="1"/>
  <c r="A8" i="1"/>
  <c r="B8" i="1" s="1"/>
  <c r="A10" i="1" l="1"/>
  <c r="B10" i="1" s="1"/>
  <c r="C10" i="1" l="1"/>
  <c r="D10" i="1"/>
  <c r="A19" i="1"/>
  <c r="B19" i="1" s="1"/>
  <c r="D19" i="1" l="1"/>
  <c r="C19" i="1"/>
  <c r="A21" i="1"/>
  <c r="B21" i="1" s="1"/>
  <c r="C21" i="1" l="1"/>
  <c r="D21" i="1"/>
  <c r="A23" i="1"/>
  <c r="B23" i="1" s="1"/>
  <c r="C23" i="1" l="1"/>
  <c r="D23" i="1"/>
</calcChain>
</file>

<file path=xl/sharedStrings.xml><?xml version="1.0" encoding="utf-8"?>
<sst xmlns="http://schemas.openxmlformats.org/spreadsheetml/2006/main" count="23" uniqueCount="20">
  <si>
    <t>Frequency (Hz)</t>
  </si>
  <si>
    <t>R</t>
  </si>
  <si>
    <t>C</t>
  </si>
  <si>
    <t>Predicted Gain (dB)</t>
  </si>
  <si>
    <t>Phase [*]</t>
  </si>
  <si>
    <t>Measured Vout</t>
  </si>
  <si>
    <t>Measured Gain(dB)</t>
  </si>
  <si>
    <t>Measured Phase</t>
  </si>
  <si>
    <t>L</t>
  </si>
  <si>
    <t>S</t>
  </si>
  <si>
    <t>Wn</t>
  </si>
  <si>
    <t>Wn^(2)</t>
  </si>
  <si>
    <t>W(rad/s)</t>
  </si>
  <si>
    <t>Tp</t>
  </si>
  <si>
    <t>%OS</t>
  </si>
  <si>
    <t>Rcirti</t>
  </si>
  <si>
    <t>Torque</t>
  </si>
  <si>
    <t>Current</t>
  </si>
  <si>
    <t>constant</t>
  </si>
  <si>
    <t>Fric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</si>
</sst>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0" fillId="0" borderId="1" xfId="0" applyBorder="1"/>
    <xf numFmtId="9" fontId="0" fillId="0" borderId="1" xfId="1" applyFont="1" applyBorder="1"/>
    <xf numFmtId="164" fontId="0" fillId="0" borderId="1" xfId="0" applyNumberFormat="1" applyBorder="1"/>
    <xf numFmtId="11" fontId="0" fillId="0" borderId="1" xfId="0" applyNumberFormat="1" applyBorder="1"/>
    <xf numFmtId="16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52755353021129E-2"/>
          <c:y val="4.4805999096186308E-2"/>
          <c:w val="0.89391743890955855"/>
          <c:h val="0.92668113800110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Predicted 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Sheet1!$A$4:$A$23</c:f>
              <c:numCache>
                <c:formatCode>0.0E+00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4000</c:v>
                </c:pt>
                <c:pt idx="8">
                  <c:v>4500</c:v>
                </c:pt>
                <c:pt idx="9">
                  <c:v>4700</c:v>
                </c:pt>
                <c:pt idx="10">
                  <c:v>5000</c:v>
                </c:pt>
                <c:pt idx="11">
                  <c:v>6000</c:v>
                </c:pt>
                <c:pt idx="12">
                  <c:v>6700</c:v>
                </c:pt>
                <c:pt idx="13">
                  <c:v>7000</c:v>
                </c:pt>
                <c:pt idx="14">
                  <c:v>7500</c:v>
                </c:pt>
                <c:pt idx="15">
                  <c:v>10000</c:v>
                </c:pt>
                <c:pt idx="16">
                  <c:v>50000</c:v>
                </c:pt>
                <c:pt idx="17">
                  <c:v>100000</c:v>
                </c:pt>
                <c:pt idx="18">
                  <c:v>500000</c:v>
                </c:pt>
                <c:pt idx="19">
                  <c:v>1000000</c:v>
                </c:pt>
              </c:numCache>
            </c:numRef>
          </c:xVal>
          <c:yVal>
            <c:numRef>
              <c:f>Sheet1!$C$4:$C$23</c:f>
              <c:numCache>
                <c:formatCode>0.00E+00</c:formatCode>
                <c:ptCount val="20"/>
                <c:pt idx="0">
                  <c:v>1.9798262532397721E-7</c:v>
                </c:pt>
                <c:pt idx="1">
                  <c:v>4.9495641346303362E-6</c:v>
                </c:pt>
                <c:pt idx="2">
                  <c:v>1.9798237880011603E-5</c:v>
                </c:pt>
                <c:pt idx="3">
                  <c:v>4.9494101838664609E-4</c:v>
                </c:pt>
                <c:pt idx="4">
                  <c:v>1.9795773301815771E-3</c:v>
                </c:pt>
                <c:pt idx="5">
                  <c:v>4.9337319762644438E-2</c:v>
                </c:pt>
                <c:pt idx="6">
                  <c:v>0.19530882342304626</c:v>
                </c:pt>
                <c:pt idx="7">
                  <c:v>1.6542023454337631</c:v>
                </c:pt>
                <c:pt idx="8">
                  <c:v>1.320394203874089</c:v>
                </c:pt>
                <c:pt idx="9">
                  <c:v>1.0816577839136412</c:v>
                </c:pt>
                <c:pt idx="10">
                  <c:v>0.61602957552730253</c:v>
                </c:pt>
                <c:pt idx="11">
                  <c:v>-1.6073179900118986</c:v>
                </c:pt>
                <c:pt idx="12">
                  <c:v>-3.4276616046672248</c:v>
                </c:pt>
                <c:pt idx="13">
                  <c:v>-4.2100934996609656</c:v>
                </c:pt>
                <c:pt idx="14">
                  <c:v>-5.4849478826008138</c:v>
                </c:pt>
                <c:pt idx="15">
                  <c:v>-10.989976881954494</c:v>
                </c:pt>
                <c:pt idx="16">
                  <c:v>-39.983193579302117</c:v>
                </c:pt>
                <c:pt idx="17">
                  <c:v>-52.061094835339709</c:v>
                </c:pt>
                <c:pt idx="18">
                  <c:v>-80.031676701970753</c:v>
                </c:pt>
                <c:pt idx="19">
                  <c:v>-92.073244992160028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2-2B45-BEA4-7DD4C7083D1A}"/>
            </c:ext>
          </c:extLst>
        </c:ser>
        <c:ser>
          <c:idx val="2"/>
          <c:order val="2"/>
          <c:tx>
            <c:v>Measured Gain(dB)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Sheet1!$A$4:$A$23</c:f>
              <c:numCache>
                <c:formatCode>0.0E+00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4000</c:v>
                </c:pt>
                <c:pt idx="8">
                  <c:v>4500</c:v>
                </c:pt>
                <c:pt idx="9">
                  <c:v>4700</c:v>
                </c:pt>
                <c:pt idx="10">
                  <c:v>5000</c:v>
                </c:pt>
                <c:pt idx="11">
                  <c:v>6000</c:v>
                </c:pt>
                <c:pt idx="12">
                  <c:v>6700</c:v>
                </c:pt>
                <c:pt idx="13">
                  <c:v>7000</c:v>
                </c:pt>
                <c:pt idx="14">
                  <c:v>7500</c:v>
                </c:pt>
                <c:pt idx="15">
                  <c:v>10000</c:v>
                </c:pt>
                <c:pt idx="16">
                  <c:v>50000</c:v>
                </c:pt>
                <c:pt idx="17">
                  <c:v>100000</c:v>
                </c:pt>
                <c:pt idx="18">
                  <c:v>500000</c:v>
                </c:pt>
                <c:pt idx="19">
                  <c:v>1000000</c:v>
                </c:pt>
              </c:numCache>
            </c:numRef>
          </c:xVal>
          <c:yVal>
            <c:numRef>
              <c:f>Sheet1!$F$4:$F$23</c:f>
              <c:numCache>
                <c:formatCode>0.00E+00</c:formatCode>
                <c:ptCount val="20"/>
                <c:pt idx="0">
                  <c:v>-1.4359858485005059</c:v>
                </c:pt>
                <c:pt idx="1">
                  <c:v>-0.4848010114911378</c:v>
                </c:pt>
                <c:pt idx="2">
                  <c:v>-0.41510443181238837</c:v>
                </c:pt>
                <c:pt idx="3">
                  <c:v>-8.3119195423154074E-2</c:v>
                </c:pt>
                <c:pt idx="4">
                  <c:v>4.1351534406665787E-3</c:v>
                </c:pt>
                <c:pt idx="5">
                  <c:v>4.1263211275467795E-2</c:v>
                </c:pt>
                <c:pt idx="6">
                  <c:v>0.16388957230543078</c:v>
                </c:pt>
                <c:pt idx="7">
                  <c:v>1.4796010472363417</c:v>
                </c:pt>
                <c:pt idx="8">
                  <c:v>1.0138541647237462</c:v>
                </c:pt>
                <c:pt idx="9">
                  <c:v>0.97697135075634023</c:v>
                </c:pt>
                <c:pt idx="10">
                  <c:v>-1.6935111318208949</c:v>
                </c:pt>
                <c:pt idx="11">
                  <c:v>-2.1475089337244286</c:v>
                </c:pt>
                <c:pt idx="12">
                  <c:v>-2.7505572783264083</c:v>
                </c:pt>
                <c:pt idx="13">
                  <c:v>-4.0329072705613882</c:v>
                </c:pt>
                <c:pt idx="14">
                  <c:v>-5.8567103409741925</c:v>
                </c:pt>
                <c:pt idx="15">
                  <c:v>-12.545265849682021</c:v>
                </c:pt>
                <c:pt idx="16">
                  <c:v>-40.273097623453609</c:v>
                </c:pt>
                <c:pt idx="17">
                  <c:v>-52.383719800004663</c:v>
                </c:pt>
                <c:pt idx="18">
                  <c:v>-69.762332780422511</c:v>
                </c:pt>
                <c:pt idx="19">
                  <c:v>-70.441046090651113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EB-6843-BC58-A53A5611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70704"/>
        <c:axId val="402970312"/>
      </c:scatterChart>
      <c:scatterChart>
        <c:scatterStyle val="smoothMarker"/>
        <c:varyColors val="0"/>
        <c:ser>
          <c:idx val="1"/>
          <c:order val="1"/>
          <c:tx>
            <c:v>Predicted Angle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Sheet1!$A$4:$A$23</c:f>
              <c:numCache>
                <c:formatCode>0.0E+00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4000</c:v>
                </c:pt>
                <c:pt idx="8">
                  <c:v>4500</c:v>
                </c:pt>
                <c:pt idx="9">
                  <c:v>4700</c:v>
                </c:pt>
                <c:pt idx="10">
                  <c:v>5000</c:v>
                </c:pt>
                <c:pt idx="11">
                  <c:v>6000</c:v>
                </c:pt>
                <c:pt idx="12">
                  <c:v>6700</c:v>
                </c:pt>
                <c:pt idx="13">
                  <c:v>7000</c:v>
                </c:pt>
                <c:pt idx="14">
                  <c:v>7500</c:v>
                </c:pt>
                <c:pt idx="15">
                  <c:v>10000</c:v>
                </c:pt>
                <c:pt idx="16">
                  <c:v>50000</c:v>
                </c:pt>
                <c:pt idx="17">
                  <c:v>100000</c:v>
                </c:pt>
                <c:pt idx="18">
                  <c:v>500000</c:v>
                </c:pt>
                <c:pt idx="19">
                  <c:v>1000000</c:v>
                </c:pt>
              </c:numCache>
            </c:numRef>
          </c:xVal>
          <c:yVal>
            <c:numRef>
              <c:f>Sheet1!$D$4:$D$23</c:f>
              <c:numCache>
                <c:formatCode>0.00E+00</c:formatCode>
                <c:ptCount val="20"/>
                <c:pt idx="0">
                  <c:v>-1.0674504305061668E-2</c:v>
                </c:pt>
                <c:pt idx="1">
                  <c:v>-5.3372558132723173E-2</c:v>
                </c:pt>
                <c:pt idx="2">
                  <c:v>-0.10674534506215305</c:v>
                </c:pt>
                <c:pt idx="3">
                  <c:v>-0.53376333423996281</c:v>
                </c:pt>
                <c:pt idx="4">
                  <c:v>-1.0677555106866947</c:v>
                </c:pt>
                <c:pt idx="5">
                  <c:v>-5.3755375122872362</c:v>
                </c:pt>
                <c:pt idx="6">
                  <c:v>-10.984411096691982</c:v>
                </c:pt>
                <c:pt idx="7">
                  <c:v>-64.364035981293853</c:v>
                </c:pt>
                <c:pt idx="8">
                  <c:v>-77.42630381091351</c:v>
                </c:pt>
                <c:pt idx="9">
                  <c:v>-82.638840117980166</c:v>
                </c:pt>
                <c:pt idx="10">
                  <c:v>-90.22821245044247</c:v>
                </c:pt>
                <c:pt idx="11">
                  <c:v>-111.72228622200642</c:v>
                </c:pt>
                <c:pt idx="12">
                  <c:v>-122.72934739277827</c:v>
                </c:pt>
                <c:pt idx="13">
                  <c:v>-126.5641605354444</c:v>
                </c:pt>
                <c:pt idx="14">
                  <c:v>-132.00505702703668</c:v>
                </c:pt>
                <c:pt idx="15">
                  <c:v>-148.28557902018363</c:v>
                </c:pt>
                <c:pt idx="16">
                  <c:v>-174.64461644589679</c:v>
                </c:pt>
                <c:pt idx="17">
                  <c:v>-177.33652029609377</c:v>
                </c:pt>
                <c:pt idx="18">
                  <c:v>-179.46821007029862</c:v>
                </c:pt>
                <c:pt idx="19">
                  <c:v>-179.73411917762255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D2-2B45-BEA4-7DD4C7083D1A}"/>
            </c:ext>
          </c:extLst>
        </c:ser>
        <c:ser>
          <c:idx val="3"/>
          <c:order val="3"/>
          <c:tx>
            <c:v>Measured Phase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Sheet1!$A$4:$A$23</c:f>
              <c:numCache>
                <c:formatCode>0.0E+00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4000</c:v>
                </c:pt>
                <c:pt idx="8">
                  <c:v>4500</c:v>
                </c:pt>
                <c:pt idx="9">
                  <c:v>4700</c:v>
                </c:pt>
                <c:pt idx="10">
                  <c:v>5000</c:v>
                </c:pt>
                <c:pt idx="11">
                  <c:v>6000</c:v>
                </c:pt>
                <c:pt idx="12">
                  <c:v>6700</c:v>
                </c:pt>
                <c:pt idx="13">
                  <c:v>7000</c:v>
                </c:pt>
                <c:pt idx="14">
                  <c:v>7500</c:v>
                </c:pt>
                <c:pt idx="15">
                  <c:v>10000</c:v>
                </c:pt>
                <c:pt idx="16">
                  <c:v>50000</c:v>
                </c:pt>
                <c:pt idx="17">
                  <c:v>100000</c:v>
                </c:pt>
                <c:pt idx="18">
                  <c:v>500000</c:v>
                </c:pt>
                <c:pt idx="19">
                  <c:v>1000000</c:v>
                </c:pt>
              </c:numCache>
            </c:numRef>
          </c:xVal>
          <c:yVal>
            <c:numRef>
              <c:f>Sheet1!$G$4:$G$23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-0.20300000000000001</c:v>
                </c:pt>
                <c:pt idx="3">
                  <c:v>-0.55700000000000005</c:v>
                </c:pt>
                <c:pt idx="4">
                  <c:v>-0.47149999999999997</c:v>
                </c:pt>
                <c:pt idx="5">
                  <c:v>-5.2030000000000003</c:v>
                </c:pt>
                <c:pt idx="6">
                  <c:v>-11.75</c:v>
                </c:pt>
                <c:pt idx="7">
                  <c:v>-64.2</c:v>
                </c:pt>
                <c:pt idx="8">
                  <c:v>-75.3</c:v>
                </c:pt>
                <c:pt idx="9">
                  <c:v>-81.099999999999994</c:v>
                </c:pt>
                <c:pt idx="10">
                  <c:v>-101.7</c:v>
                </c:pt>
                <c:pt idx="11">
                  <c:v>-110.2</c:v>
                </c:pt>
                <c:pt idx="12">
                  <c:v>-123</c:v>
                </c:pt>
                <c:pt idx="13">
                  <c:v>-124.3</c:v>
                </c:pt>
                <c:pt idx="14">
                  <c:v>-130.19999999999999</c:v>
                </c:pt>
                <c:pt idx="15">
                  <c:v>-152.19999999999999</c:v>
                </c:pt>
                <c:pt idx="16">
                  <c:v>-174.4</c:v>
                </c:pt>
                <c:pt idx="17">
                  <c:v>-176.2</c:v>
                </c:pt>
                <c:pt idx="18">
                  <c:v>-179</c:v>
                </c:pt>
                <c:pt idx="19">
                  <c:v>-179.9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EB-6843-BC58-A53A5611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23887"/>
        <c:axId val="403251455"/>
      </c:scatterChart>
      <c:valAx>
        <c:axId val="402970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597994959635438"/>
              <c:y val="2.206492281215712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0312"/>
        <c:crosses val="autoZero"/>
        <c:crossBetween val="midCat"/>
      </c:valAx>
      <c:valAx>
        <c:axId val="402970312"/>
        <c:scaling>
          <c:orientation val="minMax"/>
          <c:max val="2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0704"/>
        <c:crosses val="autoZero"/>
        <c:crossBetween val="midCat"/>
      </c:valAx>
      <c:valAx>
        <c:axId val="403251455"/>
        <c:scaling>
          <c:orientation val="minMax"/>
          <c:max val="0"/>
          <c:min val="-1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layout>
            <c:manualLayout>
              <c:xMode val="edge"/>
              <c:yMode val="edge"/>
              <c:x val="0.9730246034377189"/>
              <c:y val="0.43749835126747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23887"/>
        <c:crosses val="max"/>
        <c:crossBetween val="midCat"/>
      </c:valAx>
      <c:valAx>
        <c:axId val="403523887"/>
        <c:scaling>
          <c:logBase val="10"/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40325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73193005949764"/>
          <c:y val="0.63066413203283778"/>
          <c:w val="0.22865856848172056"/>
          <c:h val="0.21399399473707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Sheet1!$K$70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Sheet1!$J$71:$J$74</c:f>
              <c:numCache>
                <c:formatCode>General</c:formatCode>
                <c:ptCount val="4"/>
                <c:pt idx="0">
                  <c:v>2.7480000000000002</c:v>
                </c:pt>
                <c:pt idx="1">
                  <c:v>3.2890000000000001</c:v>
                </c:pt>
                <c:pt idx="2">
                  <c:v>5.5830000000000002</c:v>
                </c:pt>
                <c:pt idx="3">
                  <c:v>8.02</c:v>
                </c:pt>
              </c:numCache>
            </c:numRef>
          </c:xVal>
          <c:yVal>
            <c:numRef>
              <c:f>Sheet1!$K$71:$K$74</c:f>
              <c:numCache>
                <c:formatCode>General</c:formatCode>
                <c:ptCount val="4"/>
                <c:pt idx="0">
                  <c:v>1.51</c:v>
                </c:pt>
                <c:pt idx="1">
                  <c:v>1.97</c:v>
                </c:pt>
                <c:pt idx="2">
                  <c:v>4.05</c:v>
                </c:pt>
                <c:pt idx="3">
                  <c:v>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9-4640-957F-6A9D0F0A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734991"/>
        <c:axId val="1866063855"/>
      </c:scatterChart>
      <c:valAx>
        <c:axId val="165273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63855"/>
        <c:crosses val="autoZero"/>
        <c:crossBetween val="midCat"/>
      </c:valAx>
      <c:valAx>
        <c:axId val="18660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3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Sheet1!$K$107:$K$113</c:f>
              <c:numCache>
                <c:formatCode>General</c:formatCode>
                <c:ptCount val="7"/>
                <c:pt idx="0">
                  <c:v>14.660765716752367</c:v>
                </c:pt>
                <c:pt idx="1">
                  <c:v>30.264009229581674</c:v>
                </c:pt>
                <c:pt idx="2">
                  <c:v>61.05161723476165</c:v>
                </c:pt>
                <c:pt idx="3">
                  <c:v>92.362824015539914</c:v>
                </c:pt>
                <c:pt idx="4">
                  <c:v>123.56931104119853</c:v>
                </c:pt>
                <c:pt idx="5">
                  <c:v>154.98523757709646</c:v>
                </c:pt>
                <c:pt idx="6">
                  <c:v>185.56340607203711</c:v>
                </c:pt>
              </c:numCache>
            </c:numRef>
          </c:xVal>
          <c:yVal>
            <c:numRef>
              <c:f>Sheet1!$M$107:$M$113</c:f>
              <c:numCache>
                <c:formatCode>General</c:formatCode>
                <c:ptCount val="7"/>
                <c:pt idx="0">
                  <c:v>-18.27</c:v>
                </c:pt>
                <c:pt idx="1">
                  <c:v>-37.36</c:v>
                </c:pt>
                <c:pt idx="2">
                  <c:v>-76.099999999999994</c:v>
                </c:pt>
                <c:pt idx="3">
                  <c:v>-115</c:v>
                </c:pt>
                <c:pt idx="4">
                  <c:v>-153.9</c:v>
                </c:pt>
                <c:pt idx="5">
                  <c:v>-192.4</c:v>
                </c:pt>
                <c:pt idx="6">
                  <c:v>-229.9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9-DD4C-99D1-5EFEB2B9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762783"/>
        <c:axId val="1866241599"/>
      </c:scatterChart>
      <c:valAx>
        <c:axId val="165276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41599"/>
        <c:crosses val="autoZero"/>
        <c:crossBetween val="midCat"/>
      </c:valAx>
      <c:valAx>
        <c:axId val="18662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Sheet1!$K$80:$K$86</c:f>
              <c:numCache>
                <c:formatCode>General</c:formatCode>
                <c:ptCount val="7"/>
                <c:pt idx="0">
                  <c:v>26.494098045273923</c:v>
                </c:pt>
                <c:pt idx="1">
                  <c:v>52.778756580308524</c:v>
                </c:pt>
                <c:pt idx="2">
                  <c:v>78.435096584625171</c:v>
                </c:pt>
                <c:pt idx="3">
                  <c:v>104.19615634406146</c:v>
                </c:pt>
                <c:pt idx="4">
                  <c:v>130.58553463421575</c:v>
                </c:pt>
                <c:pt idx="5">
                  <c:v>156.97491292436999</c:v>
                </c:pt>
                <c:pt idx="6">
                  <c:v>182.42181341844733</c:v>
                </c:pt>
              </c:numCache>
            </c:numRef>
          </c:xVal>
          <c:yVal>
            <c:numRef>
              <c:f>Sheet1!$T$80:$T$86</c:f>
              <c:numCache>
                <c:formatCode>General</c:formatCode>
                <c:ptCount val="7"/>
                <c:pt idx="0">
                  <c:v>0.67205815545308589</c:v>
                </c:pt>
                <c:pt idx="1">
                  <c:v>0.82016544969818916</c:v>
                </c:pt>
                <c:pt idx="2">
                  <c:v>0.92424759261289846</c:v>
                </c:pt>
                <c:pt idx="3">
                  <c:v>1.0180989330202488</c:v>
                </c:pt>
                <c:pt idx="4">
                  <c:v>1.1254046313081711</c:v>
                </c:pt>
                <c:pt idx="5">
                  <c:v>1.2341041211479142</c:v>
                </c:pt>
                <c:pt idx="6">
                  <c:v>1.3118201909295373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D-AC49-9636-4CF3F1B1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027391"/>
        <c:axId val="1433350303"/>
      </c:scatterChart>
      <c:valAx>
        <c:axId val="174402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50303"/>
        <c:crosses val="autoZero"/>
        <c:crossBetween val="midCat"/>
      </c:valAx>
      <c:valAx>
        <c:axId val="14333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2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116663</xdr:colOff>
      <xdr:row>0</xdr:row>
      <xdr:rowOff>169327</xdr:rowOff>
    </xdr:from>
    <xdr:to>
      <xdr:col>20</xdr:col>
      <xdr:colOff>15010</xdr:colOff>
      <xdr:row>30</xdr:row>
      <xdr:rowOff>11531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590759</xdr:colOff>
      <xdr:row>59</xdr:row>
      <xdr:rowOff>108410</xdr:rowOff>
    </xdr:from>
    <xdr:to>
      <xdr:col>21</xdr:col>
      <xdr:colOff>472328</xdr:colOff>
      <xdr:row>74</xdr:row>
      <xdr:rowOff>41480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F7408-BE64-4C5A-7749-D779FAE22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573216</xdr:colOff>
      <xdr:row>102</xdr:row>
      <xdr:rowOff>42562</xdr:rowOff>
    </xdr:from>
    <xdr:to>
      <xdr:col>21</xdr:col>
      <xdr:colOff>435918</xdr:colOff>
      <xdr:row>116</xdr:row>
      <xdr:rowOff>94735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3A841-6742-1C5E-4424-B36D84AE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332947</xdr:colOff>
      <xdr:row>74</xdr:row>
      <xdr:rowOff>21968</xdr:rowOff>
    </xdr:from>
    <xdr:to>
      <xdr:col>29</xdr:col>
      <xdr:colOff>195649</xdr:colOff>
      <xdr:row>88</xdr:row>
      <xdr:rowOff>74141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3B90C7-B851-591D-4C3B-689E3203F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15"/>
  <sheetViews>
    <sheetView tabSelected="1" topLeftCell="A6" zoomScale="50" zoomScaleNormal="184" workbookViewId="0">
      <selection activeCell="S89" sqref="S89"/>
    </sheetView>
  </sheetViews>
  <sheetFormatPr baseColWidth="10" defaultColWidth="8.83203125" defaultRowHeight="15" x14ac:dyDescent="0.2"/>
  <cols>
    <col min="1" max="1" width="12.6640625" customWidth="1"/>
    <col min="2" max="2" width="12.1640625" customWidth="1"/>
    <col min="3" max="3" width="15.6640625" customWidth="1"/>
    <col min="4" max="4" width="10.1640625" bestFit="1" customWidth="1"/>
    <col min="5" max="5" width="12.83203125" customWidth="1"/>
    <col min="6" max="6" width="16.6640625" customWidth="1"/>
    <col min="7" max="7" width="14.83203125" customWidth="1"/>
    <col min="8" max="8" width="14.33203125" customWidth="1"/>
    <col min="9" max="9" width="15.33203125" customWidth="1"/>
    <col min="10" max="10" width="15" customWidth="1"/>
  </cols>
  <sheetData>
    <row r="3" spans="1:7" x14ac:dyDescent="0.2">
      <c r="A3" s="2" t="s">
        <v>0</v>
      </c>
      <c r="B3" s="2" t="s">
        <v>12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2">
      <c r="A4" s="4">
        <v>1</v>
      </c>
      <c r="B4" s="4">
        <f>2*PI()*A4</f>
        <v>6.2831853071795862</v>
      </c>
      <c r="C4" s="5">
        <f>20*LOG10($E$34/SQRT(($E$34-B4^(2))^(2)+(2*$C$35*$C$34*B4)^(2)))</f>
        <v>1.9798262532397721E-7</v>
      </c>
      <c r="D4" s="5">
        <f t="shared" ref="D4:D13" si="0">-(180/PI())*ATAN(2*$C$35*$C$34*B4/($E$34-(B4^(2))))</f>
        <v>-1.0674504305061668E-2</v>
      </c>
      <c r="E4" s="2">
        <v>17.8</v>
      </c>
      <c r="F4" s="5">
        <f>20*LOG10(E4/21)</f>
        <v>-1.4359858485005059</v>
      </c>
      <c r="G4" s="2">
        <v>0</v>
      </c>
    </row>
    <row r="5" spans="1:7" x14ac:dyDescent="0.2">
      <c r="A5" s="4">
        <f>5</f>
        <v>5</v>
      </c>
      <c r="B5" s="4">
        <f t="shared" ref="B5:B23" si="1">2*PI()*A5</f>
        <v>31.415926535897931</v>
      </c>
      <c r="C5" s="5">
        <f t="shared" ref="C5:C23" si="2">20*LOG10($E$34/SQRT(($E$34-B5^(2))^(2)+(2*$C$35*$C$34*B5)^(2)))</f>
        <v>4.9495641346303362E-6</v>
      </c>
      <c r="D5" s="5">
        <f t="shared" si="0"/>
        <v>-5.3372558132723173E-2</v>
      </c>
      <c r="E5" s="2">
        <v>19.86</v>
      </c>
      <c r="F5" s="5">
        <f>20*LOG10(E5/21)</f>
        <v>-0.4848010114911378</v>
      </c>
      <c r="G5" s="2">
        <v>0</v>
      </c>
    </row>
    <row r="6" spans="1:7" x14ac:dyDescent="0.2">
      <c r="A6" s="4">
        <f>A4*10</f>
        <v>10</v>
      </c>
      <c r="B6" s="4">
        <f t="shared" si="1"/>
        <v>62.831853071795862</v>
      </c>
      <c r="C6" s="5">
        <f t="shared" si="2"/>
        <v>1.9798237880011603E-5</v>
      </c>
      <c r="D6" s="5">
        <f t="shared" si="0"/>
        <v>-0.10674534506215305</v>
      </c>
      <c r="E6" s="2">
        <v>20.02</v>
      </c>
      <c r="F6" s="5">
        <f>20*LOG10(E6/21)</f>
        <v>-0.41510443181238837</v>
      </c>
      <c r="G6" s="2">
        <v>-0.20300000000000001</v>
      </c>
    </row>
    <row r="7" spans="1:7" x14ac:dyDescent="0.2">
      <c r="A7" s="4">
        <f>50</f>
        <v>50</v>
      </c>
      <c r="B7" s="4">
        <f t="shared" si="1"/>
        <v>314.15926535897933</v>
      </c>
      <c r="C7" s="5">
        <f t="shared" si="2"/>
        <v>4.9494101838664609E-4</v>
      </c>
      <c r="D7" s="5">
        <f t="shared" si="0"/>
        <v>-0.53376333423996281</v>
      </c>
      <c r="E7" s="2">
        <v>20.8</v>
      </c>
      <c r="F7" s="5">
        <f>20*LOG10(E7/21)</f>
        <v>-8.3119195423154074E-2</v>
      </c>
      <c r="G7" s="2">
        <v>-0.55700000000000005</v>
      </c>
    </row>
    <row r="8" spans="1:7" x14ac:dyDescent="0.2">
      <c r="A8" s="4">
        <f>A6*10</f>
        <v>100</v>
      </c>
      <c r="B8" s="4">
        <f t="shared" si="1"/>
        <v>628.31853071795865</v>
      </c>
      <c r="C8" s="5">
        <f t="shared" si="2"/>
        <v>1.9795773301815771E-3</v>
      </c>
      <c r="D8" s="5">
        <f t="shared" si="0"/>
        <v>-1.0677555106866947</v>
      </c>
      <c r="E8" s="2">
        <v>21.01</v>
      </c>
      <c r="F8" s="5">
        <f>20*LOG10(E8/21)</f>
        <v>4.1351534406665787E-3</v>
      </c>
      <c r="G8" s="2">
        <v>-0.47149999999999997</v>
      </c>
    </row>
    <row r="9" spans="1:7" x14ac:dyDescent="0.2">
      <c r="A9" s="4">
        <f>500</f>
        <v>500</v>
      </c>
      <c r="B9" s="4">
        <f t="shared" si="1"/>
        <v>3141.5926535897929</v>
      </c>
      <c r="C9" s="5">
        <f t="shared" si="2"/>
        <v>4.9337319762644438E-2</v>
      </c>
      <c r="D9" s="5">
        <f t="shared" si="0"/>
        <v>-5.3755375122872362</v>
      </c>
      <c r="E9" s="2">
        <v>21.1</v>
      </c>
      <c r="F9" s="5">
        <f>20*LOG10(E9/21)</f>
        <v>4.1263211275467795E-2</v>
      </c>
      <c r="G9" s="2">
        <v>-5.2030000000000003</v>
      </c>
    </row>
    <row r="10" spans="1:7" x14ac:dyDescent="0.2">
      <c r="A10" s="4">
        <f>A8*10</f>
        <v>1000</v>
      </c>
      <c r="B10" s="4">
        <f t="shared" si="1"/>
        <v>6283.1853071795858</v>
      </c>
      <c r="C10" s="5">
        <f t="shared" si="2"/>
        <v>0.19530882342304626</v>
      </c>
      <c r="D10" s="5">
        <f t="shared" si="0"/>
        <v>-10.984411096691982</v>
      </c>
      <c r="E10" s="2">
        <v>21.4</v>
      </c>
      <c r="F10" s="5">
        <f>20*LOG10(E10/21)</f>
        <v>0.16388957230543078</v>
      </c>
      <c r="G10" s="2">
        <v>-11.75</v>
      </c>
    </row>
    <row r="11" spans="1:7" x14ac:dyDescent="0.2">
      <c r="A11" s="4">
        <v>4000</v>
      </c>
      <c r="B11" s="4">
        <f t="shared" si="1"/>
        <v>25132.741228718343</v>
      </c>
      <c r="C11" s="5">
        <f t="shared" si="2"/>
        <v>1.6542023454337631</v>
      </c>
      <c r="D11" s="5">
        <f t="shared" si="0"/>
        <v>-64.364035981293853</v>
      </c>
      <c r="E11" s="2">
        <v>24.9</v>
      </c>
      <c r="F11" s="5">
        <f>20*LOG10(E11/21)</f>
        <v>1.4796010472363417</v>
      </c>
      <c r="G11" s="2">
        <v>-64.2</v>
      </c>
    </row>
    <row r="12" spans="1:7" x14ac:dyDescent="0.2">
      <c r="A12" s="4">
        <v>4500</v>
      </c>
      <c r="B12" s="4">
        <f t="shared" si="1"/>
        <v>28274.333882308139</v>
      </c>
      <c r="C12" s="5">
        <f t="shared" si="2"/>
        <v>1.320394203874089</v>
      </c>
      <c r="D12" s="5">
        <f t="shared" si="0"/>
        <v>-77.42630381091351</v>
      </c>
      <c r="E12" s="2">
        <v>23.6</v>
      </c>
      <c r="F12" s="5">
        <f>20*LOG10(E12/21)</f>
        <v>1.0138541647237462</v>
      </c>
      <c r="G12" s="2">
        <v>-75.3</v>
      </c>
    </row>
    <row r="13" spans="1:7" x14ac:dyDescent="0.2">
      <c r="A13" s="4">
        <v>4700</v>
      </c>
      <c r="B13" s="4">
        <f t="shared" si="1"/>
        <v>29530.970943744054</v>
      </c>
      <c r="C13" s="5">
        <f t="shared" si="2"/>
        <v>1.0816577839136412</v>
      </c>
      <c r="D13" s="5">
        <f t="shared" si="0"/>
        <v>-82.638840117980166</v>
      </c>
      <c r="E13" s="2">
        <v>23.5</v>
      </c>
      <c r="F13" s="5">
        <f>20*LOG10(E13/21)</f>
        <v>0.97697135075634023</v>
      </c>
      <c r="G13" s="2">
        <v>-81.099999999999994</v>
      </c>
    </row>
    <row r="14" spans="1:7" x14ac:dyDescent="0.2">
      <c r="A14" s="4">
        <f>5000</f>
        <v>5000</v>
      </c>
      <c r="B14" s="4">
        <f>2*PI()*A14</f>
        <v>31415.926535897932</v>
      </c>
      <c r="C14" s="5">
        <f t="shared" si="2"/>
        <v>0.61602957552730253</v>
      </c>
      <c r="D14" s="5">
        <f t="shared" ref="D14:D23" si="3">(180/PI())*(-PI()-ATAN(2*$C$35*$C$34*B14/($E$34-(B14^(2)))))</f>
        <v>-90.22821245044247</v>
      </c>
      <c r="E14" s="2">
        <v>17.28</v>
      </c>
      <c r="F14" s="5">
        <f>20*LOG10(E14/21)</f>
        <v>-1.6935111318208949</v>
      </c>
      <c r="G14" s="2">
        <v>-101.7</v>
      </c>
    </row>
    <row r="15" spans="1:7" x14ac:dyDescent="0.2">
      <c r="A15" s="4">
        <v>6000</v>
      </c>
      <c r="B15" s="4">
        <f t="shared" si="1"/>
        <v>37699.111843077517</v>
      </c>
      <c r="C15" s="5">
        <f t="shared" si="2"/>
        <v>-1.6073179900118986</v>
      </c>
      <c r="D15" s="5">
        <f t="shared" si="3"/>
        <v>-111.72228622200642</v>
      </c>
      <c r="E15" s="2">
        <v>16.399999999999999</v>
      </c>
      <c r="F15" s="5">
        <f>20*LOG10(E15/21)</f>
        <v>-2.1475089337244286</v>
      </c>
      <c r="G15" s="2">
        <v>-110.2</v>
      </c>
    </row>
    <row r="16" spans="1:7" x14ac:dyDescent="0.2">
      <c r="A16" s="4">
        <v>6700</v>
      </c>
      <c r="B16" s="4">
        <f t="shared" si="1"/>
        <v>42097.341558103231</v>
      </c>
      <c r="C16" s="5">
        <f t="shared" si="2"/>
        <v>-3.4276616046672248</v>
      </c>
      <c r="D16" s="5">
        <f t="shared" si="3"/>
        <v>-122.72934739277827</v>
      </c>
      <c r="E16" s="2">
        <v>15.3</v>
      </c>
      <c r="F16" s="5">
        <f>20*LOG10(E16/21)</f>
        <v>-2.7505572783264083</v>
      </c>
      <c r="G16" s="2">
        <v>-123</v>
      </c>
    </row>
    <row r="17" spans="1:7" x14ac:dyDescent="0.2">
      <c r="A17" s="4">
        <v>7000</v>
      </c>
      <c r="B17" s="4">
        <f t="shared" si="1"/>
        <v>43982.297150257102</v>
      </c>
      <c r="C17" s="5">
        <f t="shared" si="2"/>
        <v>-4.2100934996609656</v>
      </c>
      <c r="D17" s="5">
        <f t="shared" si="3"/>
        <v>-126.5641605354444</v>
      </c>
      <c r="E17" s="2">
        <v>13.2</v>
      </c>
      <c r="F17" s="5">
        <f>20*LOG10(E17/21)</f>
        <v>-4.0329072705613882</v>
      </c>
      <c r="G17" s="2">
        <v>-124.3</v>
      </c>
    </row>
    <row r="18" spans="1:7" x14ac:dyDescent="0.2">
      <c r="A18" s="4">
        <v>7500</v>
      </c>
      <c r="B18" s="4">
        <f t="shared" si="1"/>
        <v>47123.889803846898</v>
      </c>
      <c r="C18" s="5">
        <f t="shared" si="2"/>
        <v>-5.4849478826008138</v>
      </c>
      <c r="D18" s="5">
        <f t="shared" si="3"/>
        <v>-132.00505702703668</v>
      </c>
      <c r="E18" s="2">
        <v>10.7</v>
      </c>
      <c r="F18" s="5">
        <f>20*LOG10(E18/21)</f>
        <v>-5.8567103409741925</v>
      </c>
      <c r="G18" s="2">
        <v>-130.19999999999999</v>
      </c>
    </row>
    <row r="19" spans="1:7" x14ac:dyDescent="0.2">
      <c r="A19" s="4">
        <f>A10*10</f>
        <v>10000</v>
      </c>
      <c r="B19" s="4">
        <f t="shared" si="1"/>
        <v>62831.853071795864</v>
      </c>
      <c r="C19" s="5">
        <f t="shared" si="2"/>
        <v>-10.989976881954494</v>
      </c>
      <c r="D19" s="5">
        <f t="shared" si="3"/>
        <v>-148.28557902018363</v>
      </c>
      <c r="E19" s="2">
        <v>4.9539999999999997</v>
      </c>
      <c r="F19" s="5">
        <f>20*LOG10(E19/21)</f>
        <v>-12.545265849682021</v>
      </c>
      <c r="G19" s="2">
        <v>-152.19999999999999</v>
      </c>
    </row>
    <row r="20" spans="1:7" x14ac:dyDescent="0.2">
      <c r="A20" s="4">
        <f>50000</f>
        <v>50000</v>
      </c>
      <c r="B20" s="4">
        <f t="shared" si="1"/>
        <v>314159.26535897929</v>
      </c>
      <c r="C20" s="5">
        <f t="shared" si="2"/>
        <v>-39.983193579302117</v>
      </c>
      <c r="D20" s="5">
        <f t="shared" si="3"/>
        <v>-174.64461644589679</v>
      </c>
      <c r="E20" s="2">
        <v>0.20349999999999999</v>
      </c>
      <c r="F20" s="5">
        <f>20*LOG10(E20/21)</f>
        <v>-40.273097623453609</v>
      </c>
      <c r="G20" s="2">
        <v>-174.4</v>
      </c>
    </row>
    <row r="21" spans="1:7" x14ac:dyDescent="0.2">
      <c r="A21" s="4">
        <f>A19*10</f>
        <v>100000</v>
      </c>
      <c r="B21" s="4">
        <f t="shared" si="1"/>
        <v>628318.53071795858</v>
      </c>
      <c r="C21" s="5">
        <f t="shared" si="2"/>
        <v>-52.061094835339709</v>
      </c>
      <c r="D21" s="5">
        <f t="shared" si="3"/>
        <v>-177.33652029609377</v>
      </c>
      <c r="E21" s="2">
        <v>5.0470000000000001E-2</v>
      </c>
      <c r="F21" s="5">
        <f>20*LOG10(E21/21)</f>
        <v>-52.383719800004663</v>
      </c>
      <c r="G21" s="2">
        <v>-176.2</v>
      </c>
    </row>
    <row r="22" spans="1:7" x14ac:dyDescent="0.2">
      <c r="A22" s="4">
        <f>500000</f>
        <v>500000</v>
      </c>
      <c r="B22" s="4">
        <f t="shared" si="1"/>
        <v>3141592.653589793</v>
      </c>
      <c r="C22" s="5">
        <f t="shared" si="2"/>
        <v>-80.031676701970753</v>
      </c>
      <c r="D22" s="5">
        <f t="shared" si="3"/>
        <v>-179.46821007029862</v>
      </c>
      <c r="E22" s="2">
        <v>6.8250000000000003E-3</v>
      </c>
      <c r="F22" s="5">
        <f>20*LOG10(E22/21)</f>
        <v>-69.762332780422511</v>
      </c>
      <c r="G22" s="2">
        <v>-179</v>
      </c>
    </row>
    <row r="23" spans="1:7" x14ac:dyDescent="0.2">
      <c r="A23" s="4">
        <f t="shared" ref="A23" si="4">A21*10</f>
        <v>1000000</v>
      </c>
      <c r="B23" s="4">
        <f t="shared" si="1"/>
        <v>6283185.307179586</v>
      </c>
      <c r="C23" s="5">
        <f t="shared" si="2"/>
        <v>-92.073244992160028</v>
      </c>
      <c r="D23" s="5">
        <f t="shared" si="3"/>
        <v>-179.73411917762255</v>
      </c>
      <c r="E23" s="2">
        <v>6.3119999999999999E-3</v>
      </c>
      <c r="F23" s="5">
        <f>20*LOG10(E23/21)</f>
        <v>-70.441046090651113</v>
      </c>
      <c r="G23" s="2">
        <v>-179.9</v>
      </c>
    </row>
    <row r="31" spans="1:7" x14ac:dyDescent="0.2">
      <c r="B31" s="2" t="s">
        <v>1</v>
      </c>
      <c r="C31" s="2" t="s">
        <v>8</v>
      </c>
      <c r="D31" s="2" t="s">
        <v>2</v>
      </c>
    </row>
    <row r="32" spans="1:7" x14ac:dyDescent="0.2">
      <c r="B32" s="2">
        <f>218+50+21</f>
        <v>289</v>
      </c>
      <c r="C32" s="2">
        <f>9.912*10^(-3)</f>
        <v>9.9120000000000007E-3</v>
      </c>
      <c r="D32" s="2">
        <f>102.6*(10^(-9))</f>
        <v>1.0260000000000001E-7</v>
      </c>
    </row>
    <row r="34" spans="2:10" x14ac:dyDescent="0.2">
      <c r="B34" s="2" t="s">
        <v>10</v>
      </c>
      <c r="C34" s="2">
        <f>SQRT(1/(C32*D32))</f>
        <v>31357.806286933486</v>
      </c>
      <c r="D34" t="s">
        <v>11</v>
      </c>
      <c r="E34">
        <f>C34^2</f>
        <v>983312015.12884533</v>
      </c>
    </row>
    <row r="35" spans="2:10" x14ac:dyDescent="0.2">
      <c r="B35" s="2" t="s">
        <v>9</v>
      </c>
      <c r="C35" s="2">
        <f>SQRT(B32^(2)*D32/(4*C32))</f>
        <v>0.46490142866818984</v>
      </c>
    </row>
    <row r="36" spans="2:10" x14ac:dyDescent="0.2">
      <c r="B36" s="2" t="s">
        <v>13</v>
      </c>
      <c r="C36" s="2">
        <f>PI()/(C34*SQRT(1-C35^(2)))</f>
        <v>1.131574371503924E-4</v>
      </c>
    </row>
    <row r="37" spans="2:10" x14ac:dyDescent="0.2">
      <c r="B37" s="2" t="s">
        <v>14</v>
      </c>
      <c r="C37" s="3">
        <f>EXP(-C35*PI()/SQRT(1-C35^(2)))</f>
        <v>0.19211871037811046</v>
      </c>
    </row>
    <row r="39" spans="2:10" x14ac:dyDescent="0.2">
      <c r="B39" t="s">
        <v>15</v>
      </c>
      <c r="C39">
        <f>SQRT(4*C32/D32)</f>
        <v>621.63715183216948</v>
      </c>
    </row>
    <row r="42" spans="2:10" x14ac:dyDescent="0.2">
      <c r="H42" s="2" t="s">
        <v>0</v>
      </c>
      <c r="I42" s="2" t="s">
        <v>6</v>
      </c>
      <c r="J42" s="2" t="s">
        <v>7</v>
      </c>
    </row>
    <row r="43" spans="2:10" x14ac:dyDescent="0.2">
      <c r="H43" s="4">
        <v>1</v>
      </c>
      <c r="I43" s="5">
        <f>20*LOG10(H43/21)</f>
        <v>-26.444385894678387</v>
      </c>
      <c r="J43" s="2">
        <v>0</v>
      </c>
    </row>
    <row r="44" spans="2:10" x14ac:dyDescent="0.2">
      <c r="H44" s="4">
        <f>5</f>
        <v>5</v>
      </c>
      <c r="I44" s="5">
        <f>20*LOG10(H44/21)</f>
        <v>-12.464985807958008</v>
      </c>
      <c r="J44" s="2">
        <v>0</v>
      </c>
    </row>
    <row r="45" spans="2:10" x14ac:dyDescent="0.2">
      <c r="H45" s="4">
        <f>H43*10</f>
        <v>10</v>
      </c>
      <c r="I45" s="5">
        <f>20*LOG10(H45/21)</f>
        <v>-6.4443858946783861</v>
      </c>
      <c r="J45" s="2">
        <v>-0.20300000000000001</v>
      </c>
    </row>
    <row r="46" spans="2:10" x14ac:dyDescent="0.2">
      <c r="H46" s="4">
        <f>50</f>
        <v>50</v>
      </c>
      <c r="I46" s="5">
        <f>20*LOG10(H46/21)</f>
        <v>7.5350141920419915</v>
      </c>
      <c r="J46" s="2">
        <v>-0.55700000000000005</v>
      </c>
    </row>
    <row r="47" spans="2:10" x14ac:dyDescent="0.2">
      <c r="H47" s="4">
        <f>H45*10</f>
        <v>100</v>
      </c>
      <c r="I47" s="5">
        <f>20*LOG10(H47/21)</f>
        <v>13.555614105321613</v>
      </c>
      <c r="J47" s="2">
        <v>-0.47149999999999997</v>
      </c>
    </row>
    <row r="48" spans="2:10" x14ac:dyDescent="0.2">
      <c r="H48" s="4">
        <f>500</f>
        <v>500</v>
      </c>
      <c r="I48" s="5">
        <f>20*LOG10(H48/21)</f>
        <v>27.535014192041988</v>
      </c>
      <c r="J48" s="2">
        <v>-5.2030000000000003</v>
      </c>
    </row>
    <row r="49" spans="1:10" x14ac:dyDescent="0.2">
      <c r="H49" s="4">
        <f>H47*10</f>
        <v>1000</v>
      </c>
      <c r="I49" s="5">
        <f>20*LOG10(H49/21)</f>
        <v>33.555614105321617</v>
      </c>
      <c r="J49" s="2">
        <v>-11.75</v>
      </c>
    </row>
    <row r="50" spans="1:10" x14ac:dyDescent="0.2">
      <c r="A50" s="1"/>
      <c r="H50" s="4">
        <v>4000</v>
      </c>
      <c r="I50" s="5">
        <f>20*LOG10(H50/21)</f>
        <v>45.59681393188086</v>
      </c>
      <c r="J50" s="2">
        <v>-64.2</v>
      </c>
    </row>
    <row r="51" spans="1:10" x14ac:dyDescent="0.2">
      <c r="A51" s="1"/>
      <c r="H51" s="4">
        <v>4500</v>
      </c>
      <c r="I51" s="5">
        <f>20*LOG10(H51/21)</f>
        <v>46.619864380828488</v>
      </c>
      <c r="J51" s="2">
        <v>-75.3</v>
      </c>
    </row>
    <row r="52" spans="1:10" x14ac:dyDescent="0.2">
      <c r="A52" s="1"/>
      <c r="H52" s="4">
        <v>4700</v>
      </c>
      <c r="I52" s="5">
        <f>20*LOG10(H52/21)</f>
        <v>46.997571264035962</v>
      </c>
      <c r="J52" s="2">
        <v>-81.099999999999994</v>
      </c>
    </row>
    <row r="53" spans="1:10" x14ac:dyDescent="0.2">
      <c r="A53" s="1"/>
      <c r="H53" s="4">
        <f>5000</f>
        <v>5000</v>
      </c>
      <c r="I53" s="5">
        <f>20*LOG10(H53/21)</f>
        <v>47.535014192041992</v>
      </c>
      <c r="J53" s="2">
        <v>-101.7</v>
      </c>
    </row>
    <row r="54" spans="1:10" x14ac:dyDescent="0.2">
      <c r="A54" s="1"/>
      <c r="H54" s="4">
        <v>6000</v>
      </c>
      <c r="I54" s="5">
        <f>20*LOG10(H54/21)</f>
        <v>49.118639112994487</v>
      </c>
      <c r="J54" s="2">
        <v>-110.2</v>
      </c>
    </row>
    <row r="55" spans="1:10" x14ac:dyDescent="0.2">
      <c r="A55" s="1"/>
      <c r="H55" s="4">
        <v>6700</v>
      </c>
      <c r="I55" s="5">
        <f>20*LOG10(H55/21)</f>
        <v>50.077110159338147</v>
      </c>
      <c r="J55" s="2">
        <v>-123</v>
      </c>
    </row>
    <row r="56" spans="1:10" x14ac:dyDescent="0.2">
      <c r="A56" s="1"/>
      <c r="H56" s="4">
        <v>7000</v>
      </c>
      <c r="I56" s="5">
        <f>20*LOG10(H56/21)</f>
        <v>50.457574905606748</v>
      </c>
      <c r="J56" s="2">
        <v>-124.3</v>
      </c>
    </row>
    <row r="57" spans="1:10" x14ac:dyDescent="0.2">
      <c r="A57" s="1"/>
      <c r="H57" s="4">
        <v>7500</v>
      </c>
      <c r="I57" s="5">
        <f>20*LOG10(H57/21)</f>
        <v>51.056839373155618</v>
      </c>
      <c r="J57" s="2">
        <v>-130.19999999999999</v>
      </c>
    </row>
    <row r="58" spans="1:10" x14ac:dyDescent="0.2">
      <c r="A58" s="1"/>
      <c r="H58" s="4">
        <f>H49*10</f>
        <v>10000</v>
      </c>
      <c r="I58" s="5">
        <f>20*LOG10(H58/21)</f>
        <v>53.555614105321617</v>
      </c>
      <c r="J58" s="2">
        <v>-152.19999999999999</v>
      </c>
    </row>
    <row r="59" spans="1:10" x14ac:dyDescent="0.2">
      <c r="A59" s="1"/>
      <c r="H59" s="4">
        <f>50000</f>
        <v>50000</v>
      </c>
      <c r="I59" s="5">
        <f>20*LOG10(H59/21)</f>
        <v>67.535014192041999</v>
      </c>
      <c r="J59" s="2">
        <v>-174.4</v>
      </c>
    </row>
    <row r="60" spans="1:10" x14ac:dyDescent="0.2">
      <c r="A60" s="1"/>
      <c r="H60" s="4">
        <f>H58*10</f>
        <v>100000</v>
      </c>
      <c r="I60" s="5">
        <f>20*LOG10(H60/21)</f>
        <v>73.555614105321609</v>
      </c>
      <c r="J60" s="2">
        <v>-176.2</v>
      </c>
    </row>
    <row r="61" spans="1:10" x14ac:dyDescent="0.2">
      <c r="A61" s="1"/>
      <c r="H61" s="4">
        <f>500000</f>
        <v>500000</v>
      </c>
      <c r="I61" s="5">
        <f>20*LOG10(H61/21)</f>
        <v>87.535014192041984</v>
      </c>
      <c r="J61" s="2">
        <v>-179</v>
      </c>
    </row>
    <row r="62" spans="1:10" x14ac:dyDescent="0.2">
      <c r="A62" s="1"/>
      <c r="H62" s="4">
        <f t="shared" ref="H62" si="5">H60*10</f>
        <v>1000000</v>
      </c>
      <c r="I62" s="5">
        <f>20*LOG10(H62/21)</f>
        <v>93.555614105321609</v>
      </c>
      <c r="J62" s="2">
        <v>-179.9</v>
      </c>
    </row>
    <row r="63" spans="1:10" x14ac:dyDescent="0.2">
      <c r="A63" s="1"/>
    </row>
    <row r="64" spans="1:10" x14ac:dyDescent="0.2">
      <c r="A64" s="1"/>
    </row>
    <row r="65" spans="1:20" x14ac:dyDescent="0.2">
      <c r="A65" s="1"/>
    </row>
    <row r="66" spans="1:20" x14ac:dyDescent="0.2">
      <c r="A66" s="1"/>
    </row>
    <row r="67" spans="1:20" x14ac:dyDescent="0.2">
      <c r="A67" s="1"/>
    </row>
    <row r="68" spans="1:20" x14ac:dyDescent="0.2">
      <c r="A68" s="1"/>
    </row>
    <row r="69" spans="1:20" x14ac:dyDescent="0.2">
      <c r="A69" s="1"/>
    </row>
    <row r="70" spans="1:20" x14ac:dyDescent="0.2">
      <c r="A70" s="1"/>
      <c r="J70" t="s">
        <v>17</v>
      </c>
      <c r="K70" t="s">
        <v>16</v>
      </c>
      <c r="L70" t="s">
        <v>18</v>
      </c>
    </row>
    <row r="71" spans="1:20" x14ac:dyDescent="0.2">
      <c r="A71" s="1"/>
      <c r="J71">
        <v>2.7480000000000002</v>
      </c>
      <c r="K71">
        <v>1.51</v>
      </c>
      <c r="L71">
        <f>K71/J71</f>
        <v>0.54949053857350794</v>
      </c>
    </row>
    <row r="72" spans="1:20" x14ac:dyDescent="0.2">
      <c r="A72" s="1"/>
      <c r="J72">
        <v>3.2890000000000001</v>
      </c>
      <c r="K72">
        <v>1.97</v>
      </c>
      <c r="L72">
        <f t="shared" ref="L72:L74" si="6">K72/J72</f>
        <v>0.59896625114016411</v>
      </c>
    </row>
    <row r="73" spans="1:20" x14ac:dyDescent="0.2">
      <c r="A73" s="1"/>
      <c r="J73">
        <v>5.5830000000000002</v>
      </c>
      <c r="K73">
        <v>4.05</v>
      </c>
      <c r="L73">
        <f t="shared" si="6"/>
        <v>0.72541644277270279</v>
      </c>
    </row>
    <row r="74" spans="1:20" x14ac:dyDescent="0.2">
      <c r="A74" s="1"/>
      <c r="J74">
        <v>8.02</v>
      </c>
      <c r="K74">
        <v>6.02</v>
      </c>
      <c r="L74">
        <f t="shared" si="6"/>
        <v>0.75062344139650872</v>
      </c>
    </row>
    <row r="75" spans="1:20" x14ac:dyDescent="0.2">
      <c r="A75" s="1"/>
    </row>
    <row r="76" spans="1:20" x14ac:dyDescent="0.2">
      <c r="M76">
        <f>(SUM(L71:L74)/4)*1.35582</f>
        <v>0.8895862700959728</v>
      </c>
    </row>
    <row r="77" spans="1:20" x14ac:dyDescent="0.2">
      <c r="M77">
        <f>0.381*M76</f>
        <v>0.33893236890656564</v>
      </c>
    </row>
    <row r="79" spans="1:20" x14ac:dyDescent="0.2">
      <c r="T79" t="s">
        <v>19</v>
      </c>
    </row>
    <row r="80" spans="1:20" x14ac:dyDescent="0.2">
      <c r="J80">
        <v>253</v>
      </c>
      <c r="K80">
        <f>2*PI()*J80/60</f>
        <v>26.494098045273923</v>
      </c>
      <c r="M80">
        <v>34.5</v>
      </c>
      <c r="N80">
        <v>0.51700000000000002</v>
      </c>
      <c r="O80">
        <f>M80*N80</f>
        <v>17.836500000000001</v>
      </c>
      <c r="Q80" s="6">
        <f>N80^(2)*0.1157</f>
        <v>3.0925337299999998E-2</v>
      </c>
      <c r="S80">
        <f>N80*$M$76</f>
        <v>0.45991610163961794</v>
      </c>
      <c r="T80">
        <f>(M80*N80-N80^(2)*0.1157)/K80</f>
        <v>0.67205815545308589</v>
      </c>
    </row>
    <row r="81" spans="8:21" x14ac:dyDescent="0.2">
      <c r="J81">
        <v>504</v>
      </c>
      <c r="K81">
        <f t="shared" ref="K81:K86" si="7">2*PI()*J81/60</f>
        <v>52.778756580308524</v>
      </c>
      <c r="M81">
        <v>67.5</v>
      </c>
      <c r="N81">
        <v>0.64200000000000002</v>
      </c>
      <c r="O81">
        <f t="shared" ref="O81:O86" si="8">M81*N81</f>
        <v>43.335000000000001</v>
      </c>
      <c r="Q81" s="6">
        <f t="shared" ref="Q81:Q86" si="9">N81^(2)*0.1157</f>
        <v>4.7687374800000001E-2</v>
      </c>
      <c r="S81">
        <f t="shared" ref="S81:S86" si="10">N81*$M$76</f>
        <v>0.57111438540161452</v>
      </c>
      <c r="T81">
        <f t="shared" ref="T81:T86" si="11">(M81*N81-N81^(2)*0.1157)/K81</f>
        <v>0.82016544969818916</v>
      </c>
    </row>
    <row r="82" spans="8:21" x14ac:dyDescent="0.2">
      <c r="J82">
        <v>749</v>
      </c>
      <c r="K82">
        <f t="shared" si="7"/>
        <v>78.435096584625171</v>
      </c>
      <c r="M82">
        <v>99.8</v>
      </c>
      <c r="N82">
        <v>0.72699999999999998</v>
      </c>
      <c r="O82">
        <f t="shared" si="8"/>
        <v>72.554599999999994</v>
      </c>
      <c r="Q82" s="6">
        <f t="shared" si="9"/>
        <v>6.1150805299999986E-2</v>
      </c>
      <c r="S82">
        <f t="shared" si="10"/>
        <v>0.64672921835977215</v>
      </c>
      <c r="T82">
        <f t="shared" si="11"/>
        <v>0.92424759261289846</v>
      </c>
    </row>
    <row r="83" spans="8:21" x14ac:dyDescent="0.2">
      <c r="J83">
        <v>995</v>
      </c>
      <c r="K83">
        <f t="shared" si="7"/>
        <v>104.19615634406146</v>
      </c>
      <c r="M83">
        <v>132.19999999999999</v>
      </c>
      <c r="N83">
        <v>0.80300000000000005</v>
      </c>
      <c r="O83">
        <f t="shared" si="8"/>
        <v>106.1566</v>
      </c>
      <c r="Q83" s="6">
        <f t="shared" si="9"/>
        <v>7.4604401300000012E-2</v>
      </c>
      <c r="S83">
        <f t="shared" si="10"/>
        <v>0.71433777488706618</v>
      </c>
      <c r="T83">
        <f t="shared" si="11"/>
        <v>1.0180989330202488</v>
      </c>
    </row>
    <row r="84" spans="8:21" x14ac:dyDescent="0.2">
      <c r="J84">
        <v>1247</v>
      </c>
      <c r="K84">
        <f t="shared" si="7"/>
        <v>130.58553463421575</v>
      </c>
      <c r="M84">
        <v>165.6</v>
      </c>
      <c r="N84">
        <v>0.88800000000000001</v>
      </c>
      <c r="O84">
        <f t="shared" si="8"/>
        <v>147.05279999999999</v>
      </c>
      <c r="Q84" s="6">
        <f t="shared" si="9"/>
        <v>9.12345408E-2</v>
      </c>
      <c r="S84">
        <f t="shared" si="10"/>
        <v>0.78995260784522381</v>
      </c>
      <c r="T84">
        <f t="shared" si="11"/>
        <v>1.1254046313081711</v>
      </c>
    </row>
    <row r="85" spans="8:21" x14ac:dyDescent="0.2">
      <c r="J85">
        <v>1499</v>
      </c>
      <c r="K85">
        <f t="shared" si="7"/>
        <v>156.97491292436999</v>
      </c>
      <c r="M85">
        <v>198.6</v>
      </c>
      <c r="N85">
        <v>0.97599999999999998</v>
      </c>
      <c r="O85">
        <f t="shared" si="8"/>
        <v>193.83359999999999</v>
      </c>
      <c r="Q85" s="6">
        <f t="shared" si="9"/>
        <v>0.1102130432</v>
      </c>
      <c r="S85">
        <f t="shared" si="10"/>
        <v>0.86823619961366938</v>
      </c>
      <c r="T85">
        <f t="shared" si="11"/>
        <v>1.2341041211479142</v>
      </c>
    </row>
    <row r="86" spans="8:21" x14ac:dyDescent="0.2">
      <c r="J86">
        <v>1742</v>
      </c>
      <c r="K86">
        <f t="shared" si="7"/>
        <v>182.42181341844733</v>
      </c>
      <c r="M86">
        <v>230</v>
      </c>
      <c r="N86">
        <v>1.0409999999999999</v>
      </c>
      <c r="O86">
        <f t="shared" si="8"/>
        <v>239.42999999999998</v>
      </c>
      <c r="Q86" s="6">
        <f t="shared" si="9"/>
        <v>0.1253818917</v>
      </c>
      <c r="S86">
        <f t="shared" si="10"/>
        <v>0.92605930716990759</v>
      </c>
      <c r="T86">
        <f t="shared" si="11"/>
        <v>1.3118201909295373</v>
      </c>
    </row>
    <row r="89" spans="8:21" x14ac:dyDescent="0.2">
      <c r="J89">
        <v>756</v>
      </c>
      <c r="K89">
        <f>2*PI()*J89/60</f>
        <v>79.168134870462794</v>
      </c>
      <c r="M89">
        <v>7.65</v>
      </c>
      <c r="N89">
        <f>M89*1.35582</f>
        <v>10.372023</v>
      </c>
      <c r="P89">
        <v>108.7</v>
      </c>
      <c r="Q89">
        <v>9.4700000000000006</v>
      </c>
      <c r="S89">
        <f>Q89*P89</f>
        <v>1029.3890000000001</v>
      </c>
      <c r="T89">
        <f>M89*1.35582*K89</f>
        <v>821.1337157435421</v>
      </c>
      <c r="U89" s="7">
        <f>T89/S89</f>
        <v>0.79769039278984133</v>
      </c>
    </row>
    <row r="90" spans="8:21" x14ac:dyDescent="0.2">
      <c r="J90">
        <v>1009</v>
      </c>
      <c r="K90">
        <f t="shared" ref="K90:K93" si="12">2*PI()*J90/60</f>
        <v>105.66223291573671</v>
      </c>
      <c r="M90">
        <v>7.63</v>
      </c>
      <c r="N90">
        <f t="shared" ref="N90:N93" si="13">M90*1.35582</f>
        <v>10.3449066</v>
      </c>
      <c r="P90">
        <v>140.4</v>
      </c>
      <c r="Q90">
        <v>9.4600000000000009</v>
      </c>
      <c r="S90">
        <f>Q90*P90</f>
        <v>1328.1840000000002</v>
      </c>
      <c r="T90">
        <f t="shared" ref="T90:T93" si="14">M90*1.35582*K90</f>
        <v>1093.065930660742</v>
      </c>
      <c r="U90" s="7">
        <f t="shared" ref="U90:U93" si="15">T90/S90</f>
        <v>0.82297778821363743</v>
      </c>
    </row>
    <row r="91" spans="8:21" x14ac:dyDescent="0.2">
      <c r="J91">
        <v>1250</v>
      </c>
      <c r="K91">
        <f t="shared" si="12"/>
        <v>130.89969389957471</v>
      </c>
      <c r="M91">
        <v>7.66</v>
      </c>
      <c r="N91">
        <f t="shared" si="13"/>
        <v>10.385581200000001</v>
      </c>
      <c r="P91">
        <v>170.6</v>
      </c>
      <c r="Q91">
        <v>9.64</v>
      </c>
      <c r="S91">
        <f>Q91*P91</f>
        <v>1644.5840000000001</v>
      </c>
      <c r="T91">
        <f t="shared" si="14"/>
        <v>1359.4694000491779</v>
      </c>
      <c r="U91" s="7">
        <f t="shared" si="15"/>
        <v>0.82663421269401738</v>
      </c>
    </row>
    <row r="92" spans="8:21" x14ac:dyDescent="0.2">
      <c r="J92">
        <v>1498</v>
      </c>
      <c r="K92">
        <f t="shared" si="12"/>
        <v>156.87019316925034</v>
      </c>
      <c r="M92">
        <v>7.63</v>
      </c>
      <c r="N92">
        <f t="shared" si="13"/>
        <v>10.3449066</v>
      </c>
      <c r="P92">
        <v>200.9</v>
      </c>
      <c r="Q92">
        <v>9.6999999999999993</v>
      </c>
      <c r="S92">
        <f>Q92*P92</f>
        <v>1948.73</v>
      </c>
      <c r="T92">
        <f t="shared" si="14"/>
        <v>1622.8074966598529</v>
      </c>
      <c r="U92" s="7">
        <f t="shared" si="15"/>
        <v>0.83275132863960266</v>
      </c>
    </row>
    <row r="93" spans="8:21" x14ac:dyDescent="0.2">
      <c r="J93">
        <v>1750</v>
      </c>
      <c r="K93">
        <f t="shared" si="12"/>
        <v>183.25957145940458</v>
      </c>
      <c r="M93">
        <v>7.63</v>
      </c>
      <c r="N93">
        <f t="shared" si="13"/>
        <v>10.3449066</v>
      </c>
      <c r="P93">
        <v>232.6</v>
      </c>
      <c r="Q93">
        <v>9.7100000000000009</v>
      </c>
      <c r="S93">
        <f>Q93*P93</f>
        <v>2258.5460000000003</v>
      </c>
      <c r="T93">
        <f t="shared" si="14"/>
        <v>1895.8031503035661</v>
      </c>
      <c r="U93" s="7">
        <f t="shared" si="15"/>
        <v>0.83939098442252935</v>
      </c>
    </row>
    <row r="95" spans="8:21" x14ac:dyDescent="0.2">
      <c r="H95">
        <v>1.55</v>
      </c>
      <c r="I95">
        <f>Q95*$M$76</f>
        <v>2.3333847864617367</v>
      </c>
      <c r="J95">
        <v>1754</v>
      </c>
      <c r="K95">
        <f>2*PI()*J95/60</f>
        <v>183.67845047988325</v>
      </c>
      <c r="P95">
        <v>232.6</v>
      </c>
      <c r="Q95">
        <v>2.6230000000000002</v>
      </c>
      <c r="R95">
        <f>P95*Q95</f>
        <v>610.10980000000006</v>
      </c>
    </row>
    <row r="96" spans="8:21" x14ac:dyDescent="0.2">
      <c r="H96">
        <v>1.98</v>
      </c>
      <c r="I96">
        <f t="shared" ref="I96:I99" si="16">Q96*$M$76</f>
        <v>2.8004175782621226</v>
      </c>
      <c r="J96">
        <v>1758</v>
      </c>
      <c r="K96">
        <f t="shared" ref="K96:K99" si="17">2*PI()*J96/60</f>
        <v>184.09732950036187</v>
      </c>
      <c r="P96">
        <v>233.2</v>
      </c>
      <c r="Q96">
        <v>3.1480000000000001</v>
      </c>
      <c r="R96">
        <f t="shared" ref="R96:R99" si="18">P96*Q96</f>
        <v>734.11360000000002</v>
      </c>
    </row>
    <row r="97" spans="8:18" x14ac:dyDescent="0.2">
      <c r="H97">
        <v>4.01</v>
      </c>
      <c r="I97">
        <f t="shared" si="16"/>
        <v>4.7922012370070055</v>
      </c>
      <c r="J97">
        <v>1743</v>
      </c>
      <c r="K97">
        <f t="shared" si="17"/>
        <v>182.52653317356697</v>
      </c>
      <c r="P97">
        <v>231.5</v>
      </c>
      <c r="Q97">
        <v>5.3869999999999996</v>
      </c>
      <c r="R97">
        <f t="shared" si="18"/>
        <v>1247.0904999999998</v>
      </c>
    </row>
    <row r="98" spans="8:18" x14ac:dyDescent="0.2">
      <c r="H98">
        <v>5.98</v>
      </c>
      <c r="I98">
        <f t="shared" si="16"/>
        <v>7.0099398083562656</v>
      </c>
      <c r="J98">
        <v>1755</v>
      </c>
      <c r="K98">
        <f t="shared" si="17"/>
        <v>183.78317023500287</v>
      </c>
      <c r="P98">
        <v>233.2</v>
      </c>
      <c r="Q98">
        <v>7.88</v>
      </c>
      <c r="R98">
        <f t="shared" si="18"/>
        <v>1837.616</v>
      </c>
    </row>
    <row r="99" spans="8:18" x14ac:dyDescent="0.2">
      <c r="H99">
        <v>7.6</v>
      </c>
      <c r="I99">
        <f t="shared" si="16"/>
        <v>8.7268413096414932</v>
      </c>
      <c r="J99">
        <v>1750</v>
      </c>
      <c r="K99">
        <f t="shared" si="17"/>
        <v>183.25957145940458</v>
      </c>
      <c r="P99">
        <v>232.2</v>
      </c>
      <c r="Q99">
        <v>9.81</v>
      </c>
      <c r="R99">
        <f t="shared" si="18"/>
        <v>2277.8820000000001</v>
      </c>
    </row>
    <row r="101" spans="8:18" x14ac:dyDescent="0.2">
      <c r="J101">
        <v>1722</v>
      </c>
      <c r="K101">
        <f>2*PI()*J101/60</f>
        <v>180.32741831605412</v>
      </c>
    </row>
    <row r="102" spans="8:18" x14ac:dyDescent="0.2">
      <c r="J102">
        <v>1723</v>
      </c>
      <c r="K102">
        <f t="shared" ref="K102:K105" si="19">2*PI()*J102/60</f>
        <v>180.4321380711738</v>
      </c>
    </row>
    <row r="103" spans="8:18" x14ac:dyDescent="0.2">
      <c r="J103">
        <v>1716</v>
      </c>
      <c r="K103">
        <f t="shared" si="19"/>
        <v>179.69909978533619</v>
      </c>
    </row>
    <row r="104" spans="8:18" x14ac:dyDescent="0.2">
      <c r="J104">
        <v>1725</v>
      </c>
      <c r="K104">
        <f t="shared" si="19"/>
        <v>180.64157758141309</v>
      </c>
    </row>
    <row r="105" spans="8:18" x14ac:dyDescent="0.2">
      <c r="J105">
        <v>1716</v>
      </c>
      <c r="K105">
        <f t="shared" si="19"/>
        <v>179.69909978533619</v>
      </c>
    </row>
    <row r="107" spans="8:18" x14ac:dyDescent="0.2">
      <c r="J107">
        <v>140</v>
      </c>
      <c r="K107">
        <f>2*PI()*J107/60</f>
        <v>14.660765716752367</v>
      </c>
      <c r="M107">
        <v>-18.27</v>
      </c>
      <c r="N107">
        <f>ABS(M107/K107)</f>
        <v>1.2461832044095404</v>
      </c>
    </row>
    <row r="108" spans="8:18" x14ac:dyDescent="0.2">
      <c r="J108">
        <v>289</v>
      </c>
      <c r="K108">
        <f t="shared" ref="K108:K113" si="20">2*PI()*J108/60</f>
        <v>30.264009229581674</v>
      </c>
      <c r="M108">
        <v>-37.36</v>
      </c>
      <c r="N108">
        <f t="shared" ref="N108:N113" si="21">ABS(M108/K108)</f>
        <v>1.2344696208816353</v>
      </c>
    </row>
    <row r="109" spans="8:18" x14ac:dyDescent="0.2">
      <c r="J109">
        <v>583</v>
      </c>
      <c r="K109">
        <f t="shared" si="20"/>
        <v>61.05161723476165</v>
      </c>
      <c r="M109">
        <v>-76.099999999999994</v>
      </c>
      <c r="N109">
        <f t="shared" si="21"/>
        <v>1.24648622668541</v>
      </c>
    </row>
    <row r="110" spans="8:18" x14ac:dyDescent="0.2">
      <c r="J110">
        <v>882</v>
      </c>
      <c r="K110">
        <f t="shared" si="20"/>
        <v>92.362824015539914</v>
      </c>
      <c r="M110">
        <v>-115</v>
      </c>
      <c r="N110">
        <f t="shared" si="21"/>
        <v>1.2450896908549636</v>
      </c>
    </row>
    <row r="111" spans="8:18" x14ac:dyDescent="0.2">
      <c r="J111">
        <v>1180</v>
      </c>
      <c r="K111">
        <f t="shared" si="20"/>
        <v>123.56931104119853</v>
      </c>
      <c r="M111">
        <v>-153.9</v>
      </c>
      <c r="N111">
        <f t="shared" si="21"/>
        <v>1.2454548682292894</v>
      </c>
    </row>
    <row r="112" spans="8:18" x14ac:dyDescent="0.2">
      <c r="J112">
        <v>1480</v>
      </c>
      <c r="K112">
        <f t="shared" si="20"/>
        <v>154.98523757709646</v>
      </c>
      <c r="M112">
        <v>-192.4</v>
      </c>
      <c r="N112">
        <f t="shared" si="21"/>
        <v>1.2414085561167838</v>
      </c>
    </row>
    <row r="113" spans="10:14" x14ac:dyDescent="0.2">
      <c r="J113">
        <v>1772</v>
      </c>
      <c r="K113">
        <f t="shared" si="20"/>
        <v>185.56340607203711</v>
      </c>
      <c r="M113">
        <v>-229.9</v>
      </c>
      <c r="N113">
        <f t="shared" si="21"/>
        <v>1.2389296190799122</v>
      </c>
    </row>
    <row r="115" spans="10:14" x14ac:dyDescent="0.2">
      <c r="J115">
        <f>0.656*1.35582</f>
        <v>0.88941792000000008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2024-11-27T05:29:16Z</dcterms:modified>
</cp:coreProperties>
</file>