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filterPrivacy="1" codeName="Workbook________"/>
  <bookViews>
    <workbookView xWindow="0" yWindow="0" windowWidth="23040" windowHeight="9636" tabRatio="565" firstSheet="1" activeTab="2" xr2:uid="{00000000-000D-0000-FFFF-FFFF00000000}"/>
  </bookViews>
  <sheets>
    <sheet name="ICO Overview" sheetId="16" r:id="rId1"/>
    <sheet name="Funding Allocation" sheetId="17" r:id="rId2"/>
    <sheet name="Dashboard" sheetId="29" r:id="rId3"/>
    <sheet name="ICO Model" sheetId="15" r:id="rId4"/>
    <sheet name="User Data SwipeStox" sheetId="12" r:id="rId5"/>
    <sheet name="User Data Switex" sheetId="28" r:id="rId6"/>
  </sheets>
  <definedNames>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41595.5207060185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s>
  <calcPr calcId="171027"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O12" i="28" l="1"/>
  <c r="BP12" i="28"/>
  <c r="BQ12" i="28"/>
  <c r="BR12" i="28"/>
  <c r="BS12" i="28"/>
  <c r="B31" i="28"/>
  <c r="F9" i="28"/>
  <c r="B32" i="28"/>
  <c r="B33" i="28"/>
  <c r="E9" i="28"/>
  <c r="F13" i="28"/>
  <c r="G9" i="28"/>
  <c r="G13" i="28"/>
  <c r="B19" i="29"/>
  <c r="B34" i="28"/>
  <c r="D16" i="28"/>
  <c r="D17" i="28"/>
  <c r="D15" i="28"/>
  <c r="BP15" i="28"/>
  <c r="I57" i="15"/>
  <c r="B16" i="29"/>
  <c r="C3" i="15"/>
  <c r="C5" i="17"/>
  <c r="L36" i="17"/>
  <c r="I36" i="17"/>
  <c r="E26" i="28"/>
  <c r="E13" i="28"/>
  <c r="E17" i="28"/>
  <c r="E16" i="28"/>
  <c r="E15" i="28"/>
  <c r="F26" i="28"/>
  <c r="F17" i="28"/>
  <c r="F16" i="28"/>
  <c r="F15" i="28"/>
  <c r="G26" i="28"/>
  <c r="G17" i="28"/>
  <c r="G16" i="28"/>
  <c r="G15" i="28"/>
  <c r="BQ15" i="28"/>
  <c r="J57" i="15"/>
  <c r="J36" i="17"/>
  <c r="H26" i="28"/>
  <c r="H9" i="28"/>
  <c r="H13" i="28"/>
  <c r="H17" i="28"/>
  <c r="H16" i="28"/>
  <c r="H15" i="28"/>
  <c r="I26" i="28"/>
  <c r="I9" i="28"/>
  <c r="I13" i="28"/>
  <c r="I17" i="28"/>
  <c r="I16" i="28"/>
  <c r="I15" i="28"/>
  <c r="J26" i="28"/>
  <c r="J9" i="28"/>
  <c r="J13" i="28"/>
  <c r="J17" i="28"/>
  <c r="J16" i="28"/>
  <c r="J15" i="28"/>
  <c r="BR15" i="28"/>
  <c r="K57" i="15"/>
  <c r="K36" i="17"/>
  <c r="K26" i="28"/>
  <c r="K9" i="28"/>
  <c r="K13" i="28"/>
  <c r="K17" i="28"/>
  <c r="K16" i="28"/>
  <c r="K15" i="28"/>
  <c r="L26" i="28"/>
  <c r="L9" i="28"/>
  <c r="L13" i="28"/>
  <c r="L17" i="28"/>
  <c r="L16" i="28"/>
  <c r="L15" i="28"/>
  <c r="M26" i="28"/>
  <c r="M9" i="28"/>
  <c r="M13" i="28"/>
  <c r="M17" i="28"/>
  <c r="M16" i="28"/>
  <c r="M15" i="28"/>
  <c r="BS15" i="28"/>
  <c r="L57" i="15"/>
  <c r="Q36" i="17"/>
  <c r="M36" i="17"/>
  <c r="N26" i="28"/>
  <c r="N9" i="28"/>
  <c r="N13" i="28"/>
  <c r="N17" i="28"/>
  <c r="N16" i="28"/>
  <c r="N15" i="28"/>
  <c r="O26" i="28"/>
  <c r="O9" i="28"/>
  <c r="O13" i="28"/>
  <c r="O17" i="28"/>
  <c r="O16" i="28"/>
  <c r="O15" i="28"/>
  <c r="P26" i="28"/>
  <c r="P9" i="28"/>
  <c r="P13" i="28"/>
  <c r="P17" i="28"/>
  <c r="P16" i="28"/>
  <c r="P15" i="28"/>
  <c r="BU15" i="28"/>
  <c r="N57" i="15"/>
  <c r="N36" i="17"/>
  <c r="Q26" i="28"/>
  <c r="Q9" i="28"/>
  <c r="Q13" i="28"/>
  <c r="Q17" i="28"/>
  <c r="Q16" i="28"/>
  <c r="Q15" i="28"/>
  <c r="R26" i="28"/>
  <c r="R9" i="28"/>
  <c r="R13" i="28"/>
  <c r="R17" i="28"/>
  <c r="R16" i="28"/>
  <c r="R15" i="28"/>
  <c r="S26" i="28"/>
  <c r="S9" i="28"/>
  <c r="S13" i="28"/>
  <c r="S17" i="28"/>
  <c r="S16" i="28"/>
  <c r="S15" i="28"/>
  <c r="BV15" i="28"/>
  <c r="O57" i="15"/>
  <c r="O36" i="17"/>
  <c r="T26" i="28"/>
  <c r="T9" i="28"/>
  <c r="T13" i="28"/>
  <c r="T17" i="28"/>
  <c r="T16" i="28"/>
  <c r="T15" i="28"/>
  <c r="U16" i="28"/>
  <c r="U26" i="28"/>
  <c r="U9" i="28"/>
  <c r="U13" i="28"/>
  <c r="U17" i="28"/>
  <c r="U15" i="28"/>
  <c r="V16" i="28"/>
  <c r="V26" i="28"/>
  <c r="V9" i="28"/>
  <c r="V13" i="28"/>
  <c r="V17" i="28"/>
  <c r="V15" i="28"/>
  <c r="BW15" i="28"/>
  <c r="P57" i="15"/>
  <c r="W16" i="28"/>
  <c r="P36" i="17"/>
  <c r="W26" i="28"/>
  <c r="W9" i="28"/>
  <c r="W13" i="28"/>
  <c r="W17" i="28"/>
  <c r="W15" i="28"/>
  <c r="X16" i="28"/>
  <c r="X26" i="28"/>
  <c r="X9" i="28"/>
  <c r="X13" i="28"/>
  <c r="X17" i="28"/>
  <c r="X15" i="28"/>
  <c r="Y16" i="28"/>
  <c r="Y26" i="28"/>
  <c r="Y9" i="28"/>
  <c r="Y13" i="28"/>
  <c r="Y17" i="28"/>
  <c r="Y15" i="28"/>
  <c r="BX15" i="28"/>
  <c r="Q57" i="15"/>
  <c r="Z16" i="28"/>
  <c r="V36" i="17"/>
  <c r="R36" i="17"/>
  <c r="Z26" i="28"/>
  <c r="Z9" i="28"/>
  <c r="Z13" i="28"/>
  <c r="Z17" i="28"/>
  <c r="Z15" i="28"/>
  <c r="AA16" i="28"/>
  <c r="AA26" i="28"/>
  <c r="AA9" i="28"/>
  <c r="AA13" i="28"/>
  <c r="AA17" i="28"/>
  <c r="AA15" i="28"/>
  <c r="AB16" i="28"/>
  <c r="AB26" i="28"/>
  <c r="AB9" i="28"/>
  <c r="AB13" i="28"/>
  <c r="AB17" i="28"/>
  <c r="AB15" i="28"/>
  <c r="BZ15" i="28"/>
  <c r="S57" i="15"/>
  <c r="AC16" i="28"/>
  <c r="S36" i="17"/>
  <c r="AC26" i="28"/>
  <c r="AC9" i="28"/>
  <c r="AC13" i="28"/>
  <c r="AC17" i="28"/>
  <c r="AC15" i="28"/>
  <c r="AD16" i="28"/>
  <c r="AD26" i="28"/>
  <c r="AD9" i="28"/>
  <c r="AD13" i="28"/>
  <c r="AD17" i="28"/>
  <c r="AD15" i="28"/>
  <c r="AE16" i="28"/>
  <c r="AE26" i="28"/>
  <c r="AE9" i="28"/>
  <c r="AE13" i="28"/>
  <c r="AE17" i="28"/>
  <c r="AE15" i="28"/>
  <c r="CA15" i="28"/>
  <c r="T57" i="15"/>
  <c r="AF16" i="28"/>
  <c r="T36" i="17"/>
  <c r="AF26" i="28"/>
  <c r="AF9" i="28"/>
  <c r="AF13" i="28"/>
  <c r="AF17" i="28"/>
  <c r="AF15" i="28"/>
  <c r="AG16" i="28"/>
  <c r="AG26" i="28"/>
  <c r="AG9" i="28"/>
  <c r="AG13" i="28"/>
  <c r="AG17" i="28"/>
  <c r="AG15" i="28"/>
  <c r="AH16" i="28"/>
  <c r="AH26" i="28"/>
  <c r="AH9" i="28"/>
  <c r="AH13" i="28"/>
  <c r="AH17" i="28"/>
  <c r="AH15" i="28"/>
  <c r="CB15" i="28"/>
  <c r="U57" i="15"/>
  <c r="AI16" i="28"/>
  <c r="U36" i="17"/>
  <c r="AI26" i="28"/>
  <c r="AI9" i="28"/>
  <c r="AI13" i="28"/>
  <c r="AI17" i="28"/>
  <c r="AI15" i="28"/>
  <c r="AJ16" i="28"/>
  <c r="AJ26" i="28"/>
  <c r="AJ9" i="28"/>
  <c r="AJ13" i="28"/>
  <c r="AJ17" i="28"/>
  <c r="AJ15" i="28"/>
  <c r="AK16" i="28"/>
  <c r="AK26" i="28"/>
  <c r="AK9" i="28"/>
  <c r="AK13" i="28"/>
  <c r="AK17" i="28"/>
  <c r="AK15" i="28"/>
  <c r="CC15" i="28"/>
  <c r="V57" i="15"/>
  <c r="AL16" i="28"/>
  <c r="AA36" i="17"/>
  <c r="W36" i="17"/>
  <c r="AL26" i="28"/>
  <c r="AL9" i="28"/>
  <c r="AL13" i="28"/>
  <c r="AL17" i="28"/>
  <c r="AL15" i="28"/>
  <c r="AM16" i="28"/>
  <c r="AM26" i="28"/>
  <c r="AM9" i="28"/>
  <c r="AM13" i="28"/>
  <c r="AM17" i="28"/>
  <c r="AM15" i="28"/>
  <c r="AN16" i="28"/>
  <c r="AN26" i="28"/>
  <c r="AN9" i="28"/>
  <c r="AN13" i="28"/>
  <c r="AN17" i="28"/>
  <c r="AN15" i="28"/>
  <c r="CE15" i="28"/>
  <c r="X57" i="15"/>
  <c r="AO16" i="28"/>
  <c r="X36" i="17"/>
  <c r="AO26" i="28"/>
  <c r="AO9" i="28"/>
  <c r="AO13" i="28"/>
  <c r="AO17" i="28"/>
  <c r="AO15" i="28"/>
  <c r="AP16" i="28"/>
  <c r="AP26" i="28"/>
  <c r="AP9" i="28"/>
  <c r="AP13" i="28"/>
  <c r="AP17" i="28"/>
  <c r="AP15" i="28"/>
  <c r="AQ16" i="28"/>
  <c r="AQ26" i="28"/>
  <c r="AQ9" i="28"/>
  <c r="AQ13" i="28"/>
  <c r="AQ17" i="28"/>
  <c r="AQ15" i="28"/>
  <c r="CF15" i="28"/>
  <c r="Y57" i="15"/>
  <c r="AR16" i="28"/>
  <c r="Y36" i="17"/>
  <c r="AR26" i="28"/>
  <c r="AR9" i="28"/>
  <c r="AR13" i="28"/>
  <c r="AR17" i="28"/>
  <c r="AR15" i="28"/>
  <c r="AS16" i="28"/>
  <c r="AS26" i="28"/>
  <c r="AS9" i="28"/>
  <c r="AS13" i="28"/>
  <c r="AS17" i="28"/>
  <c r="AS15" i="28"/>
  <c r="AT16" i="28"/>
  <c r="AT26" i="28"/>
  <c r="AT9" i="28"/>
  <c r="AT13" i="28"/>
  <c r="AT17" i="28"/>
  <c r="AT15" i="28"/>
  <c r="CG15" i="28"/>
  <c r="Z57" i="15"/>
  <c r="AU16" i="28"/>
  <c r="Z36" i="17"/>
  <c r="AU26" i="28"/>
  <c r="AU9" i="28"/>
  <c r="AU13" i="28"/>
  <c r="AU17" i="28"/>
  <c r="AU15" i="28"/>
  <c r="AV16" i="28"/>
  <c r="AV26" i="28"/>
  <c r="AV9" i="28"/>
  <c r="AV13" i="28"/>
  <c r="AV17" i="28"/>
  <c r="AV15" i="28"/>
  <c r="AW16" i="28"/>
  <c r="AW26" i="28"/>
  <c r="AW9" i="28"/>
  <c r="AW13" i="28"/>
  <c r="AW17" i="28"/>
  <c r="AW15" i="28"/>
  <c r="CH15" i="28"/>
  <c r="AA57" i="15"/>
  <c r="AX16" i="28"/>
  <c r="AF36" i="17"/>
  <c r="AB36" i="17"/>
  <c r="AX26" i="28"/>
  <c r="AX9" i="28"/>
  <c r="AX13" i="28"/>
  <c r="AX17" i="28"/>
  <c r="AX15" i="28"/>
  <c r="AY16" i="28"/>
  <c r="AY26" i="28"/>
  <c r="AY9" i="28"/>
  <c r="AY13" i="28"/>
  <c r="AY17" i="28"/>
  <c r="AY15" i="28"/>
  <c r="AZ16" i="28"/>
  <c r="AZ26" i="28"/>
  <c r="AZ9" i="28"/>
  <c r="AZ13" i="28"/>
  <c r="AZ17" i="28"/>
  <c r="AZ15" i="28"/>
  <c r="CJ15" i="28"/>
  <c r="AC57" i="15"/>
  <c r="BA16" i="28"/>
  <c r="AC36" i="17"/>
  <c r="BA26" i="28"/>
  <c r="BA9" i="28"/>
  <c r="BA13" i="28"/>
  <c r="BA17" i="28"/>
  <c r="BA15" i="28"/>
  <c r="BB16" i="28"/>
  <c r="BB26" i="28"/>
  <c r="BB9" i="28"/>
  <c r="BB13" i="28"/>
  <c r="BB17" i="28"/>
  <c r="BB15" i="28"/>
  <c r="BC16" i="28"/>
  <c r="BC26" i="28"/>
  <c r="BC9" i="28"/>
  <c r="BC13" i="28"/>
  <c r="BC17" i="28"/>
  <c r="BC15" i="28"/>
  <c r="CK15" i="28"/>
  <c r="AD57" i="15"/>
  <c r="BD16" i="28"/>
  <c r="AD36" i="17"/>
  <c r="BD26" i="28"/>
  <c r="BD9" i="28"/>
  <c r="BD13" i="28"/>
  <c r="BD17" i="28"/>
  <c r="BD15" i="28"/>
  <c r="BE16" i="28"/>
  <c r="BE26" i="28"/>
  <c r="BE9" i="28"/>
  <c r="BE13" i="28"/>
  <c r="BE17" i="28"/>
  <c r="BE15" i="28"/>
  <c r="BF16" i="28"/>
  <c r="BF26" i="28"/>
  <c r="BF9" i="28"/>
  <c r="BF13" i="28"/>
  <c r="BF17" i="28"/>
  <c r="BF15" i="28"/>
  <c r="CL15" i="28"/>
  <c r="AE57" i="15"/>
  <c r="BG16" i="28"/>
  <c r="AE36" i="17"/>
  <c r="BG26" i="28"/>
  <c r="BG9" i="28"/>
  <c r="BG13" i="28"/>
  <c r="BG17" i="28"/>
  <c r="BG15" i="28"/>
  <c r="BH16" i="28"/>
  <c r="BH26" i="28"/>
  <c r="BH9" i="28"/>
  <c r="BH13" i="28"/>
  <c r="BH17" i="28"/>
  <c r="BH15" i="28"/>
  <c r="BI16" i="28"/>
  <c r="BI26" i="28"/>
  <c r="BI9" i="28"/>
  <c r="BI13" i="28"/>
  <c r="BI17" i="28"/>
  <c r="BI15" i="28"/>
  <c r="CM15" i="28"/>
  <c r="AF57" i="15"/>
  <c r="B27" i="29"/>
  <c r="B21" i="29"/>
  <c r="B20" i="29"/>
  <c r="B26" i="29"/>
  <c r="B47" i="12"/>
  <c r="C9" i="15"/>
  <c r="B44" i="12"/>
  <c r="U19" i="12"/>
  <c r="U21" i="12"/>
  <c r="B46" i="12"/>
  <c r="AA45" i="17"/>
  <c r="Y45" i="17"/>
  <c r="C4" i="15"/>
  <c r="C6" i="15"/>
  <c r="AD52" i="12"/>
  <c r="AE52" i="12"/>
  <c r="AF52" i="12"/>
  <c r="AG52" i="12"/>
  <c r="D30" i="17"/>
  <c r="P23" i="28"/>
  <c r="E30" i="17"/>
  <c r="AD23" i="28"/>
  <c r="F30" i="17"/>
  <c r="AP23" i="28"/>
  <c r="G30" i="17"/>
  <c r="BG23" i="28"/>
  <c r="C30" i="17"/>
  <c r="BI23" i="28"/>
  <c r="BE23" i="28"/>
  <c r="BD23" i="28"/>
  <c r="BC23" i="28"/>
  <c r="BA23" i="28"/>
  <c r="AZ23" i="28"/>
  <c r="AY23" i="28"/>
  <c r="AR23" i="28"/>
  <c r="AV23" i="28"/>
  <c r="AB23" i="28"/>
  <c r="AC23" i="28"/>
  <c r="AF23" i="28"/>
  <c r="AG23" i="28"/>
  <c r="AJ23" i="28"/>
  <c r="AK23" i="28"/>
  <c r="O23" i="28"/>
  <c r="S23" i="28"/>
  <c r="W23" i="28"/>
  <c r="BB23" i="28"/>
  <c r="BH23" i="28"/>
  <c r="BF23" i="28"/>
  <c r="AN23" i="28"/>
  <c r="AI23" i="28"/>
  <c r="AE23" i="28"/>
  <c r="AA23" i="28"/>
  <c r="Z23" i="28"/>
  <c r="AH23" i="28"/>
  <c r="N23" i="28"/>
  <c r="V23" i="28"/>
  <c r="R23" i="28"/>
  <c r="Y23" i="28"/>
  <c r="U23" i="28"/>
  <c r="Q23" i="28"/>
  <c r="X23" i="28"/>
  <c r="T23" i="28"/>
  <c r="AW23" i="28"/>
  <c r="AS23" i="28"/>
  <c r="AO23" i="28"/>
  <c r="AL23" i="28"/>
  <c r="AU23" i="28"/>
  <c r="AQ23" i="28"/>
  <c r="AM23" i="28"/>
  <c r="AX23" i="28"/>
  <c r="AT23" i="28"/>
  <c r="X8" i="12"/>
  <c r="F37" i="15"/>
  <c r="W8" i="12"/>
  <c r="E37" i="15"/>
  <c r="V8" i="12"/>
  <c r="D37" i="15"/>
  <c r="CH16" i="28"/>
  <c r="CF16" i="28"/>
  <c r="CC16" i="28"/>
  <c r="CA16" i="28"/>
  <c r="BW16" i="28"/>
  <c r="BX16" i="28"/>
  <c r="BS16" i="28"/>
  <c r="BQ16" i="28"/>
  <c r="E24" i="28"/>
  <c r="V26" i="12"/>
  <c r="V19" i="12"/>
  <c r="D31" i="15"/>
  <c r="Y18" i="12"/>
  <c r="B23" i="12"/>
  <c r="S10" i="12"/>
  <c r="X23" i="12"/>
  <c r="W23" i="12"/>
  <c r="E35" i="15"/>
  <c r="V23" i="12"/>
  <c r="BM17" i="28"/>
  <c r="BL17" i="28"/>
  <c r="BK17" i="28"/>
  <c r="CH12" i="28"/>
  <c r="CG12" i="28"/>
  <c r="CF12" i="28"/>
  <c r="CE12" i="28"/>
  <c r="CC12" i="28"/>
  <c r="CB12" i="28"/>
  <c r="CA12" i="28"/>
  <c r="BZ12" i="28"/>
  <c r="BX12" i="28"/>
  <c r="BW12" i="28"/>
  <c r="BV12" i="28"/>
  <c r="BU12" i="28"/>
  <c r="BN13" i="28"/>
  <c r="BO13" i="28"/>
  <c r="BO11" i="28"/>
  <c r="BO14" i="28"/>
  <c r="CH8" i="28"/>
  <c r="CG8" i="28"/>
  <c r="CF8" i="28"/>
  <c r="CE8" i="28"/>
  <c r="CC8" i="28"/>
  <c r="CB8" i="28"/>
  <c r="CA8" i="28"/>
  <c r="BZ8" i="28"/>
  <c r="BX8" i="28"/>
  <c r="BW8" i="28"/>
  <c r="BV8" i="28"/>
  <c r="BU8" i="28"/>
  <c r="BS8" i="28"/>
  <c r="BR8" i="28"/>
  <c r="BQ8" i="28"/>
  <c r="BP8" i="28"/>
  <c r="BL9" i="28"/>
  <c r="BL8" i="28"/>
  <c r="BM8" i="28"/>
  <c r="BM9" i="28"/>
  <c r="BN9" i="28"/>
  <c r="BN8" i="28"/>
  <c r="BK9" i="28"/>
  <c r="BK8" i="28"/>
  <c r="B2" i="28"/>
  <c r="D11" i="28"/>
  <c r="BP11" i="28"/>
  <c r="I55" i="15"/>
  <c r="BN11" i="28"/>
  <c r="BN17" i="28"/>
  <c r="CJ12" i="28"/>
  <c r="D7" i="28"/>
  <c r="BP7" i="28"/>
  <c r="I53" i="15"/>
  <c r="BN7" i="28"/>
  <c r="AZ22" i="28"/>
  <c r="AY22" i="28"/>
  <c r="AX22" i="28"/>
  <c r="AW22" i="28"/>
  <c r="AV22" i="28"/>
  <c r="AU22" i="28"/>
  <c r="AT22" i="28"/>
  <c r="AS22" i="28"/>
  <c r="AR22" i="28"/>
  <c r="AQ22" i="28"/>
  <c r="AP22" i="28"/>
  <c r="AO22" i="28"/>
  <c r="AN22" i="28"/>
  <c r="AM22" i="28"/>
  <c r="AL22" i="28"/>
  <c r="AK22" i="28"/>
  <c r="AJ22" i="28"/>
  <c r="AI22" i="28"/>
  <c r="AH22" i="28"/>
  <c r="AG22" i="28"/>
  <c r="AF22" i="28"/>
  <c r="AE22" i="28"/>
  <c r="AD22" i="28"/>
  <c r="AC22" i="28"/>
  <c r="AB22" i="28"/>
  <c r="AA22" i="28"/>
  <c r="Z22" i="28"/>
  <c r="Y22" i="28"/>
  <c r="X22" i="28"/>
  <c r="W22" i="28"/>
  <c r="V22" i="28"/>
  <c r="U22" i="28"/>
  <c r="T22" i="28"/>
  <c r="S22" i="28"/>
  <c r="R22" i="28"/>
  <c r="Q22" i="28"/>
  <c r="P22" i="28"/>
  <c r="O22" i="28"/>
  <c r="N22" i="28"/>
  <c r="M22" i="28"/>
  <c r="L22" i="28"/>
  <c r="K22" i="28"/>
  <c r="J22" i="28"/>
  <c r="I22" i="28"/>
  <c r="H22" i="28"/>
  <c r="G22" i="28"/>
  <c r="E22" i="28"/>
  <c r="F22" i="28"/>
  <c r="BI24" i="28"/>
  <c r="BH24" i="28"/>
  <c r="BG24" i="28"/>
  <c r="BF24" i="28"/>
  <c r="BE24" i="28"/>
  <c r="BD24" i="28"/>
  <c r="BC24" i="28"/>
  <c r="BB24" i="28"/>
  <c r="BA24" i="28"/>
  <c r="AZ24" i="28"/>
  <c r="AY24" i="28"/>
  <c r="AX24" i="28"/>
  <c r="AW24" i="28"/>
  <c r="AV24" i="28"/>
  <c r="AU24" i="28"/>
  <c r="AT24" i="28"/>
  <c r="AS24" i="28"/>
  <c r="AR24" i="28"/>
  <c r="AQ24" i="28"/>
  <c r="AP24" i="28"/>
  <c r="AO24" i="28"/>
  <c r="AN24" i="28"/>
  <c r="AM24" i="28"/>
  <c r="AL24" i="28"/>
  <c r="AK24" i="28"/>
  <c r="AJ24" i="28"/>
  <c r="AI24" i="28"/>
  <c r="AH24" i="28"/>
  <c r="AG24" i="28"/>
  <c r="AF24" i="28"/>
  <c r="AE24" i="28"/>
  <c r="AD24" i="28"/>
  <c r="AC24" i="28"/>
  <c r="AB24" i="28"/>
  <c r="AA24" i="28"/>
  <c r="Z24" i="28"/>
  <c r="Y24" i="28"/>
  <c r="X24" i="28"/>
  <c r="W24" i="28"/>
  <c r="V24" i="28"/>
  <c r="U24" i="28"/>
  <c r="T24" i="28"/>
  <c r="S24" i="28"/>
  <c r="R24" i="28"/>
  <c r="Q24" i="28"/>
  <c r="P24" i="28"/>
  <c r="O24" i="28"/>
  <c r="N24" i="28"/>
  <c r="M24" i="28"/>
  <c r="L24" i="28"/>
  <c r="K24" i="28"/>
  <c r="J24" i="28"/>
  <c r="I24" i="28"/>
  <c r="H24" i="28"/>
  <c r="G24" i="28"/>
  <c r="F24" i="28"/>
  <c r="CJ8" i="28"/>
  <c r="CM8" i="28"/>
  <c r="CL8" i="28"/>
  <c r="CK8" i="28"/>
  <c r="BM16" i="28"/>
  <c r="BL16" i="28"/>
  <c r="BK16" i="28"/>
  <c r="BN15" i="28"/>
  <c r="BO15" i="28"/>
  <c r="D14" i="28"/>
  <c r="BP14" i="28"/>
  <c r="I56" i="15"/>
  <c r="BI2" i="28"/>
  <c r="BH2" i="28"/>
  <c r="BG2" i="28"/>
  <c r="BF2" i="28"/>
  <c r="BE2" i="28"/>
  <c r="BD2" i="28"/>
  <c r="BC2" i="28"/>
  <c r="BB2" i="28"/>
  <c r="BA2" i="28"/>
  <c r="AZ2" i="28"/>
  <c r="AY2" i="28"/>
  <c r="AX2" i="28"/>
  <c r="AW2" i="28"/>
  <c r="AV2" i="28"/>
  <c r="AU2" i="28"/>
  <c r="AT2" i="28"/>
  <c r="AS2" i="28"/>
  <c r="AR2" i="28"/>
  <c r="AQ2" i="28"/>
  <c r="AP2" i="28"/>
  <c r="AO2" i="28"/>
  <c r="AN2" i="28"/>
  <c r="AM2" i="28"/>
  <c r="AL2" i="28"/>
  <c r="AK2" i="28"/>
  <c r="AJ2" i="28"/>
  <c r="AI2" i="28"/>
  <c r="AH2" i="28"/>
  <c r="AG2" i="28"/>
  <c r="AF2" i="28"/>
  <c r="AE2" i="28"/>
  <c r="AD2" i="28"/>
  <c r="AC2" i="28"/>
  <c r="AB2" i="28"/>
  <c r="AA2" i="28"/>
  <c r="Z2" i="28"/>
  <c r="Y2" i="28"/>
  <c r="X2" i="28"/>
  <c r="W2" i="28"/>
  <c r="V2" i="28"/>
  <c r="U2" i="28"/>
  <c r="T2" i="28"/>
  <c r="S2" i="28"/>
  <c r="R2" i="28"/>
  <c r="Q2" i="28"/>
  <c r="P2" i="28"/>
  <c r="O2" i="28"/>
  <c r="N2" i="28"/>
  <c r="M2" i="28"/>
  <c r="L2" i="28"/>
  <c r="K2" i="28"/>
  <c r="J2" i="28"/>
  <c r="I2" i="28"/>
  <c r="H2" i="28"/>
  <c r="G2" i="28"/>
  <c r="F2" i="28"/>
  <c r="E2" i="28"/>
  <c r="D2" i="28"/>
  <c r="C2" i="28"/>
  <c r="BN10" i="28"/>
  <c r="BO10" i="28"/>
  <c r="BN16" i="28"/>
  <c r="B25" i="12"/>
  <c r="B7" i="12"/>
  <c r="B8" i="12"/>
  <c r="B19" i="12"/>
  <c r="B26" i="12"/>
  <c r="B28" i="12"/>
  <c r="B32" i="12"/>
  <c r="B33" i="12"/>
  <c r="AS52" i="12"/>
  <c r="AR52" i="12"/>
  <c r="AQ52" i="12"/>
  <c r="AP52" i="12"/>
  <c r="AO52" i="12"/>
  <c r="AN52" i="12"/>
  <c r="AM52" i="12"/>
  <c r="AL52" i="12"/>
  <c r="AI52" i="12"/>
  <c r="AJ52" i="12"/>
  <c r="AK52" i="12"/>
  <c r="AH52" i="12"/>
  <c r="AA52" i="12"/>
  <c r="AB52" i="12"/>
  <c r="AC52" i="12"/>
  <c r="Z52" i="12"/>
  <c r="Z18" i="12"/>
  <c r="H57" i="15"/>
  <c r="H56" i="15"/>
  <c r="H55" i="15"/>
  <c r="H54" i="15"/>
  <c r="D35" i="15"/>
  <c r="D25" i="17"/>
  <c r="E25" i="17"/>
  <c r="F25" i="17"/>
  <c r="G25" i="17"/>
  <c r="C25" i="17"/>
  <c r="J23" i="28"/>
  <c r="F23" i="28"/>
  <c r="M23" i="28"/>
  <c r="I23" i="28"/>
  <c r="E23" i="28"/>
  <c r="L23" i="28"/>
  <c r="H23" i="28"/>
  <c r="K23" i="28"/>
  <c r="G23" i="28"/>
  <c r="BP9" i="28"/>
  <c r="BP13" i="28"/>
  <c r="BP17" i="28"/>
  <c r="R10" i="12"/>
  <c r="R60" i="12"/>
  <c r="X60" i="12"/>
  <c r="F39" i="15"/>
  <c r="D35" i="12"/>
  <c r="E35" i="12"/>
  <c r="F35" i="12"/>
  <c r="G35" i="12"/>
  <c r="H35" i="12"/>
  <c r="I35" i="12"/>
  <c r="J35" i="12"/>
  <c r="K35" i="12"/>
  <c r="L35" i="12"/>
  <c r="M35" i="12"/>
  <c r="N35" i="12"/>
  <c r="O35" i="12"/>
  <c r="P35" i="12"/>
  <c r="Q35" i="12"/>
  <c r="R35" i="12"/>
  <c r="C35" i="12"/>
  <c r="V32" i="12"/>
  <c r="X59" i="12"/>
  <c r="X57" i="12"/>
  <c r="R58" i="12"/>
  <c r="X58" i="12"/>
  <c r="C12" i="17"/>
  <c r="BG22" i="28"/>
  <c r="BC22" i="28"/>
  <c r="BF22" i="28"/>
  <c r="BB22" i="28"/>
  <c r="BI22" i="28"/>
  <c r="BE22" i="28"/>
  <c r="BA22" i="28"/>
  <c r="BH22" i="28"/>
  <c r="BD22" i="28"/>
  <c r="AA18" i="12"/>
  <c r="AB18" i="12"/>
  <c r="AC18" i="12"/>
  <c r="AD18" i="12"/>
  <c r="AE18" i="12"/>
  <c r="AF18" i="12"/>
  <c r="AG18" i="12"/>
  <c r="AH18" i="12"/>
  <c r="AI18" i="12"/>
  <c r="AJ18" i="12"/>
  <c r="AK18" i="12"/>
  <c r="AL18" i="12"/>
  <c r="AM18" i="12"/>
  <c r="AN18" i="12"/>
  <c r="AO18" i="12"/>
  <c r="AP18" i="12"/>
  <c r="AQ18" i="12"/>
  <c r="AR18" i="12"/>
  <c r="AS18" i="12"/>
  <c r="V18" i="12"/>
  <c r="W18" i="12"/>
  <c r="X18" i="12"/>
  <c r="F35" i="15"/>
  <c r="X7" i="12"/>
  <c r="F36" i="15"/>
  <c r="W7" i="12"/>
  <c r="E36" i="15"/>
  <c r="V7" i="12"/>
  <c r="X21" i="12"/>
  <c r="F33" i="15"/>
  <c r="W22" i="12"/>
  <c r="E34" i="15"/>
  <c r="V22" i="12"/>
  <c r="D34" i="15"/>
  <c r="X19" i="12"/>
  <c r="F31" i="15"/>
  <c r="W19" i="12"/>
  <c r="E31" i="15"/>
  <c r="X32" i="12"/>
  <c r="W32" i="12"/>
  <c r="X33" i="12"/>
  <c r="W33" i="12"/>
  <c r="V33" i="12"/>
  <c r="X28" i="12"/>
  <c r="W28" i="12"/>
  <c r="V28" i="12"/>
  <c r="X25" i="12"/>
  <c r="W25" i="12"/>
  <c r="V25" i="12"/>
  <c r="X26" i="12"/>
  <c r="W26" i="12"/>
  <c r="D36" i="15"/>
  <c r="B45" i="12"/>
  <c r="C29" i="12"/>
  <c r="D29" i="12"/>
  <c r="E29" i="12"/>
  <c r="C27" i="12"/>
  <c r="D27" i="12"/>
  <c r="E27" i="12"/>
  <c r="F27" i="12"/>
  <c r="G27" i="12"/>
  <c r="H27" i="12"/>
  <c r="I27" i="12"/>
  <c r="J27" i="12"/>
  <c r="K27" i="12"/>
  <c r="C15" i="12"/>
  <c r="D15" i="12"/>
  <c r="E15" i="12"/>
  <c r="F15" i="12"/>
  <c r="G15" i="12"/>
  <c r="H15" i="12"/>
  <c r="I15" i="12"/>
  <c r="J15" i="12"/>
  <c r="K15" i="12"/>
  <c r="L15" i="12"/>
  <c r="M15" i="12"/>
  <c r="N15" i="12"/>
  <c r="O15" i="12"/>
  <c r="P15" i="12"/>
  <c r="Q15" i="12"/>
  <c r="U9" i="12"/>
  <c r="C9" i="12"/>
  <c r="AS10" i="12"/>
  <c r="AR10" i="12"/>
  <c r="AQ10" i="12"/>
  <c r="AP10" i="12"/>
  <c r="AO10" i="12"/>
  <c r="AN10" i="12"/>
  <c r="AM10" i="12"/>
  <c r="AL10" i="12"/>
  <c r="AK10" i="12"/>
  <c r="AJ10" i="12"/>
  <c r="AI10" i="12"/>
  <c r="AH10" i="12"/>
  <c r="AG10" i="12"/>
  <c r="AF10" i="12"/>
  <c r="AE10" i="12"/>
  <c r="AD10" i="12"/>
  <c r="AC10" i="12"/>
  <c r="AB10" i="12"/>
  <c r="AA10" i="12"/>
  <c r="Z10" i="12"/>
  <c r="U10" i="12"/>
  <c r="T10" i="12"/>
  <c r="AS9" i="12"/>
  <c r="AR9" i="12"/>
  <c r="AQ9" i="12"/>
  <c r="AP9" i="12"/>
  <c r="AO9" i="12"/>
  <c r="AN9" i="12"/>
  <c r="AM9" i="12"/>
  <c r="AL9" i="12"/>
  <c r="AK9" i="12"/>
  <c r="AJ9" i="12"/>
  <c r="AI9" i="12"/>
  <c r="AH9" i="12"/>
  <c r="AG9" i="12"/>
  <c r="AF9" i="12"/>
  <c r="AE9" i="12"/>
  <c r="AD9" i="12"/>
  <c r="AC9" i="12"/>
  <c r="AB9" i="12"/>
  <c r="AA9" i="12"/>
  <c r="Z9" i="12"/>
  <c r="T9" i="12"/>
  <c r="S9" i="12"/>
  <c r="D9" i="12"/>
  <c r="E9" i="12"/>
  <c r="F9" i="12"/>
  <c r="G9" i="12"/>
  <c r="H9" i="12"/>
  <c r="I9" i="12"/>
  <c r="J9" i="12"/>
  <c r="K9" i="12"/>
  <c r="L9" i="12"/>
  <c r="M9" i="12"/>
  <c r="N9" i="12"/>
  <c r="O9" i="12"/>
  <c r="P9" i="12"/>
  <c r="Q9" i="12"/>
  <c r="R9" i="12"/>
  <c r="C12" i="12"/>
  <c r="D12" i="12"/>
  <c r="E12" i="12"/>
  <c r="F12" i="12"/>
  <c r="G12" i="12"/>
  <c r="H12" i="12"/>
  <c r="I12" i="12"/>
  <c r="J12" i="12"/>
  <c r="K12" i="12"/>
  <c r="L12" i="12"/>
  <c r="M12" i="12"/>
  <c r="N12" i="12"/>
  <c r="O12" i="12"/>
  <c r="P12" i="12"/>
  <c r="Q12" i="12"/>
  <c r="R12" i="12"/>
  <c r="R11" i="12"/>
  <c r="C11" i="12"/>
  <c r="D11" i="12"/>
  <c r="E11" i="12"/>
  <c r="F11" i="12"/>
  <c r="G11" i="12"/>
  <c r="H11" i="12"/>
  <c r="I11" i="12"/>
  <c r="J11" i="12"/>
  <c r="K11" i="12"/>
  <c r="L11" i="12"/>
  <c r="M11" i="12"/>
  <c r="N11" i="12"/>
  <c r="O11" i="12"/>
  <c r="P11" i="12"/>
  <c r="Q11" i="12"/>
  <c r="C34" i="12"/>
  <c r="C13" i="12"/>
  <c r="D34" i="12"/>
  <c r="D13" i="12"/>
  <c r="E34" i="12"/>
  <c r="E13" i="12"/>
  <c r="F34" i="12"/>
  <c r="F13" i="12"/>
  <c r="G34" i="12"/>
  <c r="H34" i="12"/>
  <c r="H13" i="12"/>
  <c r="I34" i="12"/>
  <c r="I13" i="12"/>
  <c r="J34" i="12"/>
  <c r="K34" i="12"/>
  <c r="K13" i="12"/>
  <c r="L34" i="12"/>
  <c r="L13" i="12"/>
  <c r="M34" i="12"/>
  <c r="N34" i="12"/>
  <c r="N13" i="12"/>
  <c r="O34" i="12"/>
  <c r="O13" i="12"/>
  <c r="P34" i="12"/>
  <c r="P13" i="12"/>
  <c r="Q34" i="12"/>
  <c r="Q13" i="12"/>
  <c r="R34" i="12"/>
  <c r="C10" i="12"/>
  <c r="D10" i="12"/>
  <c r="E10" i="12"/>
  <c r="F10" i="12"/>
  <c r="G10" i="12"/>
  <c r="H10" i="12"/>
  <c r="I10" i="12"/>
  <c r="J10" i="12"/>
  <c r="K10" i="12"/>
  <c r="L10" i="12"/>
  <c r="M10" i="12"/>
  <c r="N10" i="12"/>
  <c r="O10" i="12"/>
  <c r="P10" i="12"/>
  <c r="Q10" i="12"/>
  <c r="R13" i="12"/>
  <c r="P22" i="12"/>
  <c r="Q22" i="12"/>
  <c r="R22" i="12"/>
  <c r="V20" i="12"/>
  <c r="D32" i="15"/>
  <c r="N21" i="12"/>
  <c r="S22" i="12"/>
  <c r="O21" i="12"/>
  <c r="J21" i="12"/>
  <c r="H21" i="12"/>
  <c r="M21" i="12"/>
  <c r="M20" i="12"/>
  <c r="N20" i="12"/>
  <c r="O20" i="12"/>
  <c r="W20" i="12"/>
  <c r="E32" i="15"/>
  <c r="E21" i="12"/>
  <c r="I21" i="12"/>
  <c r="G21" i="12"/>
  <c r="K21" i="12"/>
  <c r="C21" i="12"/>
  <c r="D21" i="12"/>
  <c r="L21" i="12"/>
  <c r="F21" i="12"/>
  <c r="H44" i="15"/>
  <c r="H43" i="15"/>
  <c r="H47" i="15"/>
  <c r="R15" i="12"/>
  <c r="I58" i="15"/>
  <c r="BP16" i="28"/>
  <c r="CB16" i="28"/>
  <c r="CD8" i="28"/>
  <c r="CI8" i="28"/>
  <c r="BU16" i="28"/>
  <c r="BZ16" i="28"/>
  <c r="CD16" i="28"/>
  <c r="CE16" i="28"/>
  <c r="CJ16" i="28"/>
  <c r="BR16" i="28"/>
  <c r="BT16" i="28"/>
  <c r="BV16" i="28"/>
  <c r="CG16" i="28"/>
  <c r="D10" i="28"/>
  <c r="BN14" i="28"/>
  <c r="BO16" i="28"/>
  <c r="CI16" i="28"/>
  <c r="BT8" i="28"/>
  <c r="CN8" i="28"/>
  <c r="BT12" i="28"/>
  <c r="BY12" i="28"/>
  <c r="CD12" i="28"/>
  <c r="CI12" i="28"/>
  <c r="AA37" i="17"/>
  <c r="X37" i="17"/>
  <c r="AF43" i="17"/>
  <c r="AB43" i="17"/>
  <c r="Q44" i="17"/>
  <c r="N44" i="17"/>
  <c r="V40" i="17"/>
  <c r="T40" i="17"/>
  <c r="AF44" i="17"/>
  <c r="AE44" i="17"/>
  <c r="V37" i="17"/>
  <c r="T37" i="17"/>
  <c r="AA38" i="17"/>
  <c r="Z38" i="17"/>
  <c r="L42" i="17"/>
  <c r="H42" i="17"/>
  <c r="Q41" i="17"/>
  <c r="M41" i="17"/>
  <c r="AF45" i="17"/>
  <c r="AE45" i="17"/>
  <c r="Q39" i="17"/>
  <c r="N39" i="17"/>
  <c r="V38" i="17"/>
  <c r="R38" i="17"/>
  <c r="Q42" i="17"/>
  <c r="O42" i="17"/>
  <c r="AA42" i="17"/>
  <c r="Y42" i="17"/>
  <c r="W7" i="28"/>
  <c r="M7" i="28"/>
  <c r="V45" i="17"/>
  <c r="S45" i="17"/>
  <c r="AF38" i="17"/>
  <c r="AB38" i="17"/>
  <c r="L41" i="17"/>
  <c r="K41" i="17"/>
  <c r="V42" i="17"/>
  <c r="S42" i="17"/>
  <c r="AA41" i="17"/>
  <c r="W41" i="17"/>
  <c r="V44" i="17"/>
  <c r="R44" i="17"/>
  <c r="L45" i="17"/>
  <c r="I45" i="17"/>
  <c r="AF42" i="17"/>
  <c r="AD42" i="17"/>
  <c r="AF39" i="17"/>
  <c r="AD39" i="17"/>
  <c r="BD7" i="28"/>
  <c r="AA39" i="17"/>
  <c r="Y39" i="17"/>
  <c r="Q43" i="17"/>
  <c r="N43" i="17"/>
  <c r="AA40" i="17"/>
  <c r="Y40" i="17"/>
  <c r="Q37" i="17"/>
  <c r="P37" i="17"/>
  <c r="Q40" i="17"/>
  <c r="P40" i="17"/>
  <c r="L44" i="17"/>
  <c r="J44" i="17"/>
  <c r="V39" i="17"/>
  <c r="R39" i="17"/>
  <c r="Q45" i="17"/>
  <c r="O45" i="17"/>
  <c r="V43" i="17"/>
  <c r="T43" i="17"/>
  <c r="L40" i="17"/>
  <c r="J40" i="17"/>
  <c r="V41" i="17"/>
  <c r="R41" i="17"/>
  <c r="AF37" i="17"/>
  <c r="AE37" i="17"/>
  <c r="AF40" i="17"/>
  <c r="AC40" i="17"/>
  <c r="AF41" i="17"/>
  <c r="AB41" i="17"/>
  <c r="AA43" i="17"/>
  <c r="W43" i="17"/>
  <c r="L37" i="17"/>
  <c r="H37" i="17"/>
  <c r="AA7" i="28"/>
  <c r="AR7" i="28"/>
  <c r="AA44" i="17"/>
  <c r="W44" i="17"/>
  <c r="L38" i="17"/>
  <c r="I38" i="17"/>
  <c r="Q38" i="17"/>
  <c r="M38" i="17"/>
  <c r="L39" i="17"/>
  <c r="K39" i="17"/>
  <c r="L43" i="17"/>
  <c r="H43" i="17"/>
  <c r="BP10" i="28"/>
  <c r="I54" i="15"/>
  <c r="AE43" i="17"/>
  <c r="Z45" i="17"/>
  <c r="X45" i="17"/>
  <c r="W45" i="17"/>
  <c r="C7" i="15"/>
  <c r="I22" i="15"/>
  <c r="I23" i="15"/>
  <c r="Y22" i="15"/>
  <c r="Y23" i="15"/>
  <c r="M22" i="15"/>
  <c r="X22" i="15"/>
  <c r="X23" i="15"/>
  <c r="AA22" i="15"/>
  <c r="AA23" i="15"/>
  <c r="AB23" i="15"/>
  <c r="E12" i="29"/>
  <c r="O22" i="15"/>
  <c r="O23" i="15"/>
  <c r="Z22" i="15"/>
  <c r="Z23" i="15"/>
  <c r="N22" i="15"/>
  <c r="N23" i="15"/>
  <c r="AG22" i="15"/>
  <c r="U22" i="15"/>
  <c r="U23" i="15"/>
  <c r="AF22" i="15"/>
  <c r="AF23" i="15"/>
  <c r="AG23" i="15"/>
  <c r="F12" i="29"/>
  <c r="L22" i="15"/>
  <c r="L23" i="15"/>
  <c r="M23" i="15"/>
  <c r="B12" i="29"/>
  <c r="W22" i="15"/>
  <c r="K22" i="15"/>
  <c r="K23" i="15"/>
  <c r="J22" i="15"/>
  <c r="J23" i="15"/>
  <c r="AC22" i="15"/>
  <c r="AC23" i="15"/>
  <c r="T22" i="15"/>
  <c r="T23" i="15"/>
  <c r="AE22" i="15"/>
  <c r="AE23" i="15"/>
  <c r="S22" i="15"/>
  <c r="S23" i="15"/>
  <c r="V22" i="15"/>
  <c r="V23" i="15"/>
  <c r="W23" i="15"/>
  <c r="D12" i="29"/>
  <c r="Q22" i="15"/>
  <c r="Q23" i="15"/>
  <c r="R23" i="15"/>
  <c r="C12" i="29"/>
  <c r="AB22" i="15"/>
  <c r="P22" i="15"/>
  <c r="P23" i="15"/>
  <c r="AD22" i="15"/>
  <c r="AD23" i="15"/>
  <c r="R22" i="15"/>
  <c r="BO17" i="28"/>
  <c r="BO9" i="28"/>
  <c r="W35" i="12"/>
  <c r="E38" i="15"/>
  <c r="BY16" i="28"/>
  <c r="BY8" i="28"/>
  <c r="BO8" i="28"/>
  <c r="V10" i="12"/>
  <c r="W34" i="12"/>
  <c r="X9" i="12"/>
  <c r="W9" i="12"/>
  <c r="W21" i="12"/>
  <c r="W64" i="12"/>
  <c r="M13" i="12"/>
  <c r="Y9" i="12"/>
  <c r="V21" i="12"/>
  <c r="V64" i="12"/>
  <c r="X64" i="12"/>
  <c r="X66" i="12"/>
  <c r="W10" i="12"/>
  <c r="C30" i="12"/>
  <c r="X35" i="12"/>
  <c r="F38" i="15"/>
  <c r="X34" i="12"/>
  <c r="B10" i="12"/>
  <c r="B11" i="12"/>
  <c r="G53" i="15"/>
  <c r="H53" i="15"/>
  <c r="BO7" i="28"/>
  <c r="D30" i="12"/>
  <c r="U26" i="12"/>
  <c r="E33" i="15"/>
  <c r="B22" i="12"/>
  <c r="X22" i="12"/>
  <c r="F34" i="15"/>
  <c r="D33" i="15"/>
  <c r="T19" i="12"/>
  <c r="T21" i="12"/>
  <c r="S19" i="12"/>
  <c r="P20" i="12"/>
  <c r="Q20" i="12"/>
  <c r="R20" i="12"/>
  <c r="J13" i="12"/>
  <c r="V34" i="12"/>
  <c r="B34" i="12"/>
  <c r="G13" i="12"/>
  <c r="L27" i="12"/>
  <c r="B15" i="12"/>
  <c r="X78" i="12"/>
  <c r="X67" i="12"/>
  <c r="B21" i="12"/>
  <c r="B9" i="12"/>
  <c r="F29" i="12"/>
  <c r="E30" i="12"/>
  <c r="X75" i="12"/>
  <c r="B12" i="12"/>
  <c r="V9" i="12"/>
  <c r="X10" i="12"/>
  <c r="Y10" i="12"/>
  <c r="V35" i="12"/>
  <c r="D38" i="15"/>
  <c r="B35" i="12"/>
  <c r="X71" i="12"/>
  <c r="X69" i="12"/>
  <c r="X65" i="12"/>
  <c r="X73" i="12"/>
  <c r="X79" i="12"/>
  <c r="X70" i="12"/>
  <c r="X76" i="12"/>
  <c r="X77" i="12"/>
  <c r="X72" i="12"/>
  <c r="AB44" i="17"/>
  <c r="W37" i="17"/>
  <c r="AC43" i="17"/>
  <c r="AD43" i="17"/>
  <c r="AB45" i="17"/>
  <c r="AC44" i="17"/>
  <c r="Y37" i="17"/>
  <c r="O41" i="17"/>
  <c r="AD44" i="17"/>
  <c r="Z37" i="17"/>
  <c r="Y38" i="17"/>
  <c r="AD45" i="17"/>
  <c r="I42" i="17"/>
  <c r="K42" i="17"/>
  <c r="U38" i="17"/>
  <c r="S38" i="17"/>
  <c r="J42" i="17"/>
  <c r="X38" i="17"/>
  <c r="W38" i="17"/>
  <c r="S40" i="17"/>
  <c r="P44" i="17"/>
  <c r="M44" i="17"/>
  <c r="O44" i="17"/>
  <c r="U40" i="17"/>
  <c r="R40" i="17"/>
  <c r="R37" i="17"/>
  <c r="T38" i="17"/>
  <c r="S37" i="17"/>
  <c r="U37" i="17"/>
  <c r="N41" i="17"/>
  <c r="T44" i="17"/>
  <c r="N42" i="17"/>
  <c r="P41" i="17"/>
  <c r="P42" i="17"/>
  <c r="AC45" i="17"/>
  <c r="M42" i="17"/>
  <c r="X42" i="17"/>
  <c r="M39" i="17"/>
  <c r="AC38" i="17"/>
  <c r="S44" i="17"/>
  <c r="U44" i="17"/>
  <c r="AE38" i="17"/>
  <c r="O39" i="17"/>
  <c r="AD38" i="17"/>
  <c r="P39" i="17"/>
  <c r="Z42" i="17"/>
  <c r="W42" i="17"/>
  <c r="H7" i="28"/>
  <c r="H45" i="17"/>
  <c r="H41" i="17"/>
  <c r="Y7" i="28"/>
  <c r="P7" i="28"/>
  <c r="H36" i="17"/>
  <c r="Z50" i="12"/>
  <c r="Z51" i="12"/>
  <c r="J45" i="17"/>
  <c r="I41" i="17"/>
  <c r="AG50" i="12"/>
  <c r="AG19" i="12"/>
  <c r="AG21" i="12"/>
  <c r="AG26" i="12"/>
  <c r="K45" i="17"/>
  <c r="X7" i="28"/>
  <c r="J41" i="17"/>
  <c r="K7" i="28"/>
  <c r="X41" i="17"/>
  <c r="R7" i="28"/>
  <c r="T45" i="17"/>
  <c r="U7" i="28"/>
  <c r="L7" i="28"/>
  <c r="T42" i="17"/>
  <c r="Z41" i="17"/>
  <c r="F7" i="28"/>
  <c r="R45" i="17"/>
  <c r="U45" i="17"/>
  <c r="AC50" i="12"/>
  <c r="AC19" i="12"/>
  <c r="L31" i="15"/>
  <c r="R42" i="17"/>
  <c r="Y41" i="17"/>
  <c r="U42" i="17"/>
  <c r="Y44" i="17"/>
  <c r="BE7" i="28"/>
  <c r="Z43" i="17"/>
  <c r="X44" i="17"/>
  <c r="N37" i="17"/>
  <c r="K43" i="17"/>
  <c r="Z44" i="17"/>
  <c r="AG45" i="17"/>
  <c r="AG37" i="17"/>
  <c r="K38" i="17"/>
  <c r="N40" i="17"/>
  <c r="I37" i="17"/>
  <c r="AB37" i="17"/>
  <c r="AD37" i="17"/>
  <c r="J43" i="17"/>
  <c r="P45" i="17"/>
  <c r="K44" i="17"/>
  <c r="Z7" i="28"/>
  <c r="AH7" i="28"/>
  <c r="AB40" i="17"/>
  <c r="AB7" i="28"/>
  <c r="H44" i="17"/>
  <c r="I40" i="17"/>
  <c r="K37" i="17"/>
  <c r="R43" i="17"/>
  <c r="J37" i="17"/>
  <c r="J38" i="17"/>
  <c r="U43" i="17"/>
  <c r="X43" i="17"/>
  <c r="X39" i="17"/>
  <c r="M45" i="17"/>
  <c r="M37" i="17"/>
  <c r="Z39" i="17"/>
  <c r="BF7" i="28"/>
  <c r="BC7" i="28"/>
  <c r="S43" i="17"/>
  <c r="AR50" i="12"/>
  <c r="AR19" i="12"/>
  <c r="AR21" i="12"/>
  <c r="Y43" i="17"/>
  <c r="H38" i="17"/>
  <c r="M40" i="17"/>
  <c r="I43" i="17"/>
  <c r="AC37" i="17"/>
  <c r="AZ7" i="28"/>
  <c r="N45" i="17"/>
  <c r="H40" i="17"/>
  <c r="S41" i="17"/>
  <c r="P43" i="17"/>
  <c r="AK50" i="12"/>
  <c r="AK19" i="12"/>
  <c r="V31" i="15"/>
  <c r="AN7" i="28"/>
  <c r="M43" i="17"/>
  <c r="I39" i="17"/>
  <c r="AB39" i="17"/>
  <c r="AG36" i="17"/>
  <c r="AT7" i="28"/>
  <c r="AB42" i="17"/>
  <c r="AG43" i="17"/>
  <c r="AG44" i="17"/>
  <c r="AQ7" i="28"/>
  <c r="AF46" i="17"/>
  <c r="W39" i="17"/>
  <c r="X40" i="17"/>
  <c r="O40" i="17"/>
  <c r="V46" i="17"/>
  <c r="AG39" i="17"/>
  <c r="AE41" i="17"/>
  <c r="W40" i="17"/>
  <c r="U41" i="17"/>
  <c r="AN50" i="12"/>
  <c r="AN19" i="12"/>
  <c r="AN21" i="12"/>
  <c r="AN26" i="12"/>
  <c r="O38" i="17"/>
  <c r="L46" i="17"/>
  <c r="H46" i="17"/>
  <c r="AG42" i="17"/>
  <c r="J39" i="17"/>
  <c r="I44" i="17"/>
  <c r="S39" i="17"/>
  <c r="Z40" i="17"/>
  <c r="AC41" i="17"/>
  <c r="AS7" i="28"/>
  <c r="AG38" i="17"/>
  <c r="AG40" i="17"/>
  <c r="N38" i="17"/>
  <c r="AE39" i="17"/>
  <c r="AC39" i="17"/>
  <c r="H39" i="17"/>
  <c r="O43" i="17"/>
  <c r="O37" i="17"/>
  <c r="T41" i="17"/>
  <c r="AH50" i="12"/>
  <c r="AH19" i="12"/>
  <c r="S31" i="15"/>
  <c r="P38" i="17"/>
  <c r="AE42" i="17"/>
  <c r="AI50" i="12"/>
  <c r="AI19" i="12"/>
  <c r="T31" i="15"/>
  <c r="AE40" i="17"/>
  <c r="Q46" i="17"/>
  <c r="AD41" i="17"/>
  <c r="AG41" i="17"/>
  <c r="AA46" i="17"/>
  <c r="AD40" i="17"/>
  <c r="U39" i="17"/>
  <c r="K40" i="17"/>
  <c r="AC42" i="17"/>
  <c r="T39" i="17"/>
  <c r="I61" i="15"/>
  <c r="CK12" i="28"/>
  <c r="CK16" i="28"/>
  <c r="B13" i="12"/>
  <c r="X68" i="12"/>
  <c r="X74" i="12"/>
  <c r="B20" i="12"/>
  <c r="X20" i="12"/>
  <c r="F32" i="15"/>
  <c r="V68" i="12"/>
  <c r="V66" i="12"/>
  <c r="V75" i="12"/>
  <c r="V70" i="12"/>
  <c r="V69" i="12"/>
  <c r="V72" i="12"/>
  <c r="V67" i="12"/>
  <c r="V65" i="12"/>
  <c r="V79" i="12"/>
  <c r="V78" i="12"/>
  <c r="V74" i="12"/>
  <c r="V76" i="12"/>
  <c r="V71" i="12"/>
  <c r="V77" i="12"/>
  <c r="V73" i="12"/>
  <c r="W66" i="12"/>
  <c r="W78" i="12"/>
  <c r="W73" i="12"/>
  <c r="W72" i="12"/>
  <c r="W79" i="12"/>
  <c r="W70" i="12"/>
  <c r="W65" i="12"/>
  <c r="W75" i="12"/>
  <c r="W69" i="12"/>
  <c r="W77" i="12"/>
  <c r="W67" i="12"/>
  <c r="W74" i="12"/>
  <c r="W76" i="12"/>
  <c r="W71" i="12"/>
  <c r="W68" i="12"/>
  <c r="G29" i="12"/>
  <c r="F30" i="12"/>
  <c r="T26" i="12"/>
  <c r="U28" i="12"/>
  <c r="T22" i="12"/>
  <c r="U22" i="12"/>
  <c r="V27" i="12"/>
  <c r="M27" i="12"/>
  <c r="Y19" i="12"/>
  <c r="G31" i="15"/>
  <c r="H31" i="15"/>
  <c r="S21" i="12"/>
  <c r="S20" i="12"/>
  <c r="T20" i="12"/>
  <c r="U20" i="12"/>
  <c r="AF50" i="12"/>
  <c r="AF19" i="12"/>
  <c r="AF21" i="12"/>
  <c r="AF64" i="12"/>
  <c r="I7" i="28"/>
  <c r="AE50" i="12"/>
  <c r="AE19" i="12"/>
  <c r="AE21" i="12"/>
  <c r="AE64" i="12"/>
  <c r="AB50" i="12"/>
  <c r="AB19" i="12"/>
  <c r="K31" i="15"/>
  <c r="J7" i="28"/>
  <c r="BX7" i="28"/>
  <c r="Q53" i="15"/>
  <c r="BX9" i="28"/>
  <c r="Q33" i="15"/>
  <c r="AG64" i="12"/>
  <c r="AG77" i="12"/>
  <c r="Q31" i="15"/>
  <c r="AD50" i="12"/>
  <c r="AD19" i="12"/>
  <c r="N31" i="15"/>
  <c r="Z19" i="12"/>
  <c r="Z21" i="12"/>
  <c r="Z22" i="12"/>
  <c r="O7" i="28"/>
  <c r="BS7" i="28"/>
  <c r="L53" i="15"/>
  <c r="AC21" i="12"/>
  <c r="AC26" i="12"/>
  <c r="AC28" i="12"/>
  <c r="Q7" i="28"/>
  <c r="S7" i="28"/>
  <c r="AA50" i="12"/>
  <c r="AA19" i="12"/>
  <c r="J31" i="15"/>
  <c r="V7" i="28"/>
  <c r="R46" i="17"/>
  <c r="T7" i="28"/>
  <c r="G7" i="28"/>
  <c r="BS9" i="28"/>
  <c r="E27" i="28"/>
  <c r="F27" i="28"/>
  <c r="BH7" i="28"/>
  <c r="AK7" i="28"/>
  <c r="Y46" i="17"/>
  <c r="CL7" i="28"/>
  <c r="AE53" i="15"/>
  <c r="AF7" i="28"/>
  <c r="AJ50" i="12"/>
  <c r="AJ19" i="12"/>
  <c r="AJ21" i="12"/>
  <c r="U33" i="15"/>
  <c r="I46" i="17"/>
  <c r="BG7" i="28"/>
  <c r="AS50" i="12"/>
  <c r="AS19" i="12"/>
  <c r="AS21" i="12"/>
  <c r="AF33" i="15"/>
  <c r="AN64" i="12"/>
  <c r="AN76" i="12"/>
  <c r="AL7" i="28"/>
  <c r="P46" i="17"/>
  <c r="AV7" i="28"/>
  <c r="AC7" i="28"/>
  <c r="AE31" i="15"/>
  <c r="AG7" i="28"/>
  <c r="N46" i="17"/>
  <c r="BZ7" i="28"/>
  <c r="S53" i="15"/>
  <c r="AI7" i="28"/>
  <c r="CL9" i="28"/>
  <c r="AM7" i="28"/>
  <c r="AL50" i="12"/>
  <c r="AL19" i="12"/>
  <c r="AO50" i="12"/>
  <c r="AO19" i="12"/>
  <c r="AO21" i="12"/>
  <c r="AA33" i="15"/>
  <c r="BZ9" i="28"/>
  <c r="AY7" i="28"/>
  <c r="AX7" i="28"/>
  <c r="AP50" i="12"/>
  <c r="AP19" i="12"/>
  <c r="AC31" i="15"/>
  <c r="T46" i="17"/>
  <c r="M46" i="17"/>
  <c r="AD46" i="17"/>
  <c r="AO7" i="28"/>
  <c r="BA7" i="28"/>
  <c r="AH21" i="12"/>
  <c r="AH26" i="12"/>
  <c r="AH28" i="12"/>
  <c r="Z31" i="15"/>
  <c r="CG7" i="28"/>
  <c r="Z53" i="15"/>
  <c r="BB7" i="28"/>
  <c r="AQ50" i="12"/>
  <c r="AQ19" i="12"/>
  <c r="AI21" i="12"/>
  <c r="AI64" i="12"/>
  <c r="U46" i="17"/>
  <c r="O46" i="17"/>
  <c r="S46" i="17"/>
  <c r="W46" i="17"/>
  <c r="AB46" i="17"/>
  <c r="AE7" i="28"/>
  <c r="J46" i="17"/>
  <c r="X46" i="17"/>
  <c r="K46" i="17"/>
  <c r="AP7" i="28"/>
  <c r="AU7" i="28"/>
  <c r="AE46" i="17"/>
  <c r="AG46" i="17"/>
  <c r="AM50" i="12"/>
  <c r="AM19" i="12"/>
  <c r="AM21" i="12"/>
  <c r="AM64" i="12"/>
  <c r="CG9" i="28"/>
  <c r="AC46" i="17"/>
  <c r="Z46" i="17"/>
  <c r="Z33" i="15"/>
  <c r="AK21" i="12"/>
  <c r="AK64" i="12"/>
  <c r="AW7" i="28"/>
  <c r="BI7" i="28"/>
  <c r="Y22" i="12"/>
  <c r="G34" i="15"/>
  <c r="H34" i="15"/>
  <c r="H29" i="12"/>
  <c r="G30" i="12"/>
  <c r="S26" i="12"/>
  <c r="T28" i="12"/>
  <c r="S23" i="12"/>
  <c r="Y21" i="12"/>
  <c r="N27" i="12"/>
  <c r="AR26" i="12"/>
  <c r="AR64" i="12"/>
  <c r="AE33" i="15"/>
  <c r="Y20" i="12"/>
  <c r="G32" i="15"/>
  <c r="H32" i="15"/>
  <c r="AF26" i="12"/>
  <c r="AG28" i="12"/>
  <c r="P33" i="15"/>
  <c r="P31" i="15"/>
  <c r="BR9" i="28"/>
  <c r="BR7" i="28"/>
  <c r="K53" i="15"/>
  <c r="AA21" i="12"/>
  <c r="AA64" i="12"/>
  <c r="AA73" i="12"/>
  <c r="O33" i="15"/>
  <c r="AE26" i="12"/>
  <c r="O31" i="15"/>
  <c r="AB21" i="12"/>
  <c r="AB26" i="12"/>
  <c r="AB28" i="12"/>
  <c r="AG70" i="12"/>
  <c r="AG67" i="12"/>
  <c r="Z26" i="12"/>
  <c r="Z28" i="12"/>
  <c r="AG66" i="12"/>
  <c r="AG78" i="12"/>
  <c r="AG75" i="12"/>
  <c r="L33" i="15"/>
  <c r="Z20" i="12"/>
  <c r="I32" i="15"/>
  <c r="AG73" i="12"/>
  <c r="AG79" i="12"/>
  <c r="AG65" i="12"/>
  <c r="AC64" i="12"/>
  <c r="AC73" i="12"/>
  <c r="I33" i="15"/>
  <c r="AG74" i="12"/>
  <c r="AG68" i="12"/>
  <c r="AG71" i="12"/>
  <c r="I31" i="15"/>
  <c r="M31" i="15"/>
  <c r="Z64" i="12"/>
  <c r="Z71" i="12"/>
  <c r="AG76" i="12"/>
  <c r="AG72" i="12"/>
  <c r="AG69" i="12"/>
  <c r="BU9" i="28"/>
  <c r="N7" i="28"/>
  <c r="BU7" i="28"/>
  <c r="N53" i="15"/>
  <c r="AD21" i="12"/>
  <c r="N33" i="15"/>
  <c r="BV7" i="28"/>
  <c r="O53" i="15"/>
  <c r="BV9" i="28"/>
  <c r="G27" i="28"/>
  <c r="H27" i="28"/>
  <c r="I27" i="28"/>
  <c r="J27" i="28"/>
  <c r="K27" i="28"/>
  <c r="L27" i="28"/>
  <c r="M27" i="28"/>
  <c r="N27" i="28"/>
  <c r="O27" i="28"/>
  <c r="P27" i="28"/>
  <c r="Q27" i="28"/>
  <c r="R27" i="28"/>
  <c r="S27" i="28"/>
  <c r="T27" i="28"/>
  <c r="U27" i="28"/>
  <c r="V27" i="28"/>
  <c r="W27" i="28"/>
  <c r="X27" i="28"/>
  <c r="Y27" i="28"/>
  <c r="Z27" i="28"/>
  <c r="AA27" i="28"/>
  <c r="AB27" i="28"/>
  <c r="AC27" i="28"/>
  <c r="AD27" i="28"/>
  <c r="AE27" i="28"/>
  <c r="AF27" i="28"/>
  <c r="AG27" i="28"/>
  <c r="AH27" i="28"/>
  <c r="AI27" i="28"/>
  <c r="AJ27" i="28"/>
  <c r="AK27" i="28"/>
  <c r="AL27" i="28"/>
  <c r="AM27" i="28"/>
  <c r="AN27" i="28"/>
  <c r="AO27" i="28"/>
  <c r="AP27" i="28"/>
  <c r="AQ27" i="28"/>
  <c r="AR27" i="28"/>
  <c r="AS27" i="28"/>
  <c r="AT27" i="28"/>
  <c r="AU27" i="28"/>
  <c r="AV27" i="28"/>
  <c r="AW27" i="28"/>
  <c r="AX27" i="28"/>
  <c r="AY27" i="28"/>
  <c r="AZ27" i="28"/>
  <c r="BA27" i="28"/>
  <c r="BB27" i="28"/>
  <c r="BC27" i="28"/>
  <c r="BD27" i="28"/>
  <c r="BE27" i="28"/>
  <c r="BF27" i="28"/>
  <c r="BG27" i="28"/>
  <c r="BH27" i="28"/>
  <c r="BI27" i="28"/>
  <c r="BW7" i="28"/>
  <c r="P53" i="15"/>
  <c r="AA11" i="28"/>
  <c r="AA14" i="28"/>
  <c r="U11" i="28"/>
  <c r="U14" i="28"/>
  <c r="AA51" i="12"/>
  <c r="AB51" i="12"/>
  <c r="AC51" i="12"/>
  <c r="AD51" i="12"/>
  <c r="AE51" i="12"/>
  <c r="AF51" i="12"/>
  <c r="AG51" i="12"/>
  <c r="AH51" i="12"/>
  <c r="AI51" i="12"/>
  <c r="AJ51" i="12"/>
  <c r="AK51" i="12"/>
  <c r="AL51" i="12"/>
  <c r="AM51" i="12"/>
  <c r="AN51" i="12"/>
  <c r="AO51" i="12"/>
  <c r="AP51" i="12"/>
  <c r="AQ51" i="12"/>
  <c r="AR51" i="12"/>
  <c r="AS51" i="12"/>
  <c r="Y11" i="28"/>
  <c r="Y14" i="28"/>
  <c r="BW9" i="28"/>
  <c r="V11" i="28"/>
  <c r="V14" i="28"/>
  <c r="Z11" i="28"/>
  <c r="Z14" i="28"/>
  <c r="AP21" i="12"/>
  <c r="AP26" i="12"/>
  <c r="F11" i="28"/>
  <c r="F14" i="28"/>
  <c r="AN69" i="12"/>
  <c r="AN73" i="12"/>
  <c r="AJ26" i="12"/>
  <c r="AS26" i="12"/>
  <c r="AS28" i="12"/>
  <c r="AN67" i="12"/>
  <c r="AJ64" i="12"/>
  <c r="AJ71" i="12"/>
  <c r="AO64" i="12"/>
  <c r="AO75" i="12"/>
  <c r="CM9" i="28"/>
  <c r="U31" i="15"/>
  <c r="W31" i="15"/>
  <c r="T33" i="15"/>
  <c r="AM26" i="12"/>
  <c r="AN28" i="12"/>
  <c r="AS64" i="12"/>
  <c r="AS73" i="12"/>
  <c r="AF31" i="15"/>
  <c r="AO26" i="12"/>
  <c r="AO28" i="12"/>
  <c r="AN77" i="12"/>
  <c r="AA31" i="15"/>
  <c r="AN65" i="12"/>
  <c r="AN79" i="12"/>
  <c r="AN66" i="12"/>
  <c r="AC11" i="28"/>
  <c r="AD11" i="28"/>
  <c r="AD14" i="28"/>
  <c r="AN72" i="12"/>
  <c r="AN68" i="12"/>
  <c r="AN71" i="12"/>
  <c r="AN74" i="12"/>
  <c r="AN78" i="12"/>
  <c r="AN70" i="12"/>
  <c r="AN75" i="12"/>
  <c r="CC9" i="28"/>
  <c r="CJ7" i="28"/>
  <c r="AC53" i="15"/>
  <c r="CE7" i="28"/>
  <c r="X53" i="15"/>
  <c r="CH9" i="28"/>
  <c r="CB9" i="28"/>
  <c r="CB7" i="28"/>
  <c r="U53" i="15"/>
  <c r="CE9" i="28"/>
  <c r="Y31" i="15"/>
  <c r="AJ7" i="28"/>
  <c r="CC7" i="28"/>
  <c r="V53" i="15"/>
  <c r="CJ9" i="28"/>
  <c r="S33" i="15"/>
  <c r="AH64" i="12"/>
  <c r="AH74" i="12"/>
  <c r="X31" i="15"/>
  <c r="AL21" i="12"/>
  <c r="CF9" i="28"/>
  <c r="CK7" i="28"/>
  <c r="AD53" i="15"/>
  <c r="Y33" i="15"/>
  <c r="AM11" i="28"/>
  <c r="AM14" i="28"/>
  <c r="CK9" i="28"/>
  <c r="AI26" i="12"/>
  <c r="AI28" i="12"/>
  <c r="AG11" i="28"/>
  <c r="AG14" i="28"/>
  <c r="AQ21" i="12"/>
  <c r="AD31" i="15"/>
  <c r="CF7" i="28"/>
  <c r="Y53" i="15"/>
  <c r="AY11" i="28"/>
  <c r="AY14" i="28"/>
  <c r="AX11" i="28"/>
  <c r="CA9" i="28"/>
  <c r="AK11" i="28"/>
  <c r="AK14" i="28"/>
  <c r="AH11" i="28"/>
  <c r="AH14" i="28"/>
  <c r="AS11" i="28"/>
  <c r="AZ11" i="28"/>
  <c r="AZ14" i="28"/>
  <c r="BC11" i="28"/>
  <c r="AJ11" i="28"/>
  <c r="AJ14" i="28"/>
  <c r="AQ11" i="28"/>
  <c r="AQ14" i="28"/>
  <c r="AV11" i="28"/>
  <c r="AV14" i="28"/>
  <c r="AD7" i="28"/>
  <c r="CA7" i="28"/>
  <c r="V33" i="15"/>
  <c r="AK26" i="12"/>
  <c r="CM7" i="28"/>
  <c r="AF53" i="15"/>
  <c r="CH7" i="28"/>
  <c r="AA53" i="15"/>
  <c r="S7" i="12"/>
  <c r="S25" i="12"/>
  <c r="T23" i="12"/>
  <c r="I29" i="12"/>
  <c r="H30" i="12"/>
  <c r="AF77" i="12"/>
  <c r="AF74" i="12"/>
  <c r="AF65" i="12"/>
  <c r="AF73" i="12"/>
  <c r="AF75" i="12"/>
  <c r="AF78" i="12"/>
  <c r="AF79" i="12"/>
  <c r="AF71" i="12"/>
  <c r="AF76" i="12"/>
  <c r="AF66" i="12"/>
  <c r="AF68" i="12"/>
  <c r="AF67" i="12"/>
  <c r="AF69" i="12"/>
  <c r="AF72" i="12"/>
  <c r="AF70" i="12"/>
  <c r="Y26" i="12"/>
  <c r="S28" i="12"/>
  <c r="Y28" i="12"/>
  <c r="AK72" i="12"/>
  <c r="AK70" i="12"/>
  <c r="AK69" i="12"/>
  <c r="AK65" i="12"/>
  <c r="AK68" i="12"/>
  <c r="AK73" i="12"/>
  <c r="AK77" i="12"/>
  <c r="AK78" i="12"/>
  <c r="AK67" i="12"/>
  <c r="AK75" i="12"/>
  <c r="AK79" i="12"/>
  <c r="AK74" i="12"/>
  <c r="AK71" i="12"/>
  <c r="AK76" i="12"/>
  <c r="AK66" i="12"/>
  <c r="I34" i="15"/>
  <c r="O27" i="12"/>
  <c r="AE71" i="12"/>
  <c r="AE68" i="12"/>
  <c r="AE72" i="12"/>
  <c r="AE78" i="12"/>
  <c r="AE75" i="12"/>
  <c r="AE73" i="12"/>
  <c r="AE66" i="12"/>
  <c r="AE70" i="12"/>
  <c r="AE79" i="12"/>
  <c r="AE67" i="12"/>
  <c r="AE77" i="12"/>
  <c r="AE74" i="12"/>
  <c r="AE65" i="12"/>
  <c r="AE69" i="12"/>
  <c r="AE76" i="12"/>
  <c r="AI79" i="12"/>
  <c r="AI67" i="12"/>
  <c r="AI66" i="12"/>
  <c r="AI71" i="12"/>
  <c r="AI70" i="12"/>
  <c r="AI76" i="12"/>
  <c r="AI75" i="12"/>
  <c r="AI77" i="12"/>
  <c r="AI69" i="12"/>
  <c r="AI65" i="12"/>
  <c r="AI68" i="12"/>
  <c r="AI73" i="12"/>
  <c r="AI74" i="12"/>
  <c r="AI72" i="12"/>
  <c r="AI78" i="12"/>
  <c r="AR76" i="12"/>
  <c r="AR70" i="12"/>
  <c r="AR69" i="12"/>
  <c r="AR74" i="12"/>
  <c r="AR78" i="12"/>
  <c r="AR72" i="12"/>
  <c r="AR67" i="12"/>
  <c r="AR71" i="12"/>
  <c r="AR75" i="12"/>
  <c r="AR68" i="12"/>
  <c r="AR79" i="12"/>
  <c r="AR77" i="12"/>
  <c r="AR65" i="12"/>
  <c r="AR73" i="12"/>
  <c r="AR66" i="12"/>
  <c r="G33" i="15"/>
  <c r="H33" i="15"/>
  <c r="Y64" i="12"/>
  <c r="AM79" i="12"/>
  <c r="AM71" i="12"/>
  <c r="AM68" i="12"/>
  <c r="AM66" i="12"/>
  <c r="AM65" i="12"/>
  <c r="AM73" i="12"/>
  <c r="AM72" i="12"/>
  <c r="AM70" i="12"/>
  <c r="AM67" i="12"/>
  <c r="AM75" i="12"/>
  <c r="AM76" i="12"/>
  <c r="AM78" i="12"/>
  <c r="AM69" i="12"/>
  <c r="AM77" i="12"/>
  <c r="AM74" i="12"/>
  <c r="R31" i="15"/>
  <c r="AF28" i="12"/>
  <c r="Z73" i="12"/>
  <c r="AA77" i="12"/>
  <c r="AA68" i="12"/>
  <c r="AA79" i="12"/>
  <c r="AA22" i="12"/>
  <c r="J34" i="15"/>
  <c r="AA67" i="12"/>
  <c r="AA75" i="12"/>
  <c r="AA69" i="12"/>
  <c r="AA72" i="12"/>
  <c r="AA65" i="12"/>
  <c r="AA76" i="12"/>
  <c r="AA66" i="12"/>
  <c r="AA71" i="12"/>
  <c r="AA70" i="12"/>
  <c r="AA74" i="12"/>
  <c r="AA78" i="12"/>
  <c r="AA26" i="12"/>
  <c r="AA28" i="12"/>
  <c r="J33" i="15"/>
  <c r="R33" i="15"/>
  <c r="AC74" i="12"/>
  <c r="AB64" i="12"/>
  <c r="AB65" i="12"/>
  <c r="K33" i="15"/>
  <c r="Z70" i="12"/>
  <c r="Z75" i="12"/>
  <c r="Z77" i="12"/>
  <c r="Z68" i="12"/>
  <c r="Z79" i="12"/>
  <c r="Z78" i="12"/>
  <c r="Z66" i="12"/>
  <c r="Z72" i="12"/>
  <c r="Z76" i="12"/>
  <c r="Z65" i="12"/>
  <c r="Z69" i="12"/>
  <c r="Z74" i="12"/>
  <c r="Z67" i="12"/>
  <c r="AC71" i="12"/>
  <c r="AC75" i="12"/>
  <c r="AC79" i="12"/>
  <c r="AC69" i="12"/>
  <c r="AD64" i="12"/>
  <c r="AD70" i="12"/>
  <c r="AC68" i="12"/>
  <c r="AA20" i="12"/>
  <c r="J32" i="15"/>
  <c r="AC76" i="12"/>
  <c r="AC78" i="12"/>
  <c r="AC65" i="12"/>
  <c r="AC72" i="12"/>
  <c r="AC66" i="12"/>
  <c r="AC77" i="12"/>
  <c r="AC67" i="12"/>
  <c r="AC70" i="12"/>
  <c r="AD26" i="12"/>
  <c r="AD28" i="12"/>
  <c r="R53" i="15"/>
  <c r="BY9" i="28"/>
  <c r="Q58" i="15"/>
  <c r="R58" i="15"/>
  <c r="W11" i="28"/>
  <c r="W14" i="28"/>
  <c r="Q11" i="28"/>
  <c r="Q14" i="28"/>
  <c r="AB11" i="28"/>
  <c r="AB14" i="28"/>
  <c r="BZ14" i="28"/>
  <c r="S56" i="15"/>
  <c r="J11" i="28"/>
  <c r="J14" i="28"/>
  <c r="BY7" i="28"/>
  <c r="E7" i="28"/>
  <c r="E10" i="28"/>
  <c r="F10" i="28"/>
  <c r="G10" i="28"/>
  <c r="H10" i="28"/>
  <c r="I10" i="28"/>
  <c r="J10" i="28"/>
  <c r="K10" i="28"/>
  <c r="L10" i="28"/>
  <c r="M10" i="28"/>
  <c r="N10" i="28"/>
  <c r="O10" i="28"/>
  <c r="P10" i="28"/>
  <c r="Q10" i="28"/>
  <c r="R10" i="28"/>
  <c r="S10" i="28"/>
  <c r="T10" i="28"/>
  <c r="U10" i="28"/>
  <c r="V10" i="28"/>
  <c r="W10" i="28"/>
  <c r="X10" i="28"/>
  <c r="Y10" i="28"/>
  <c r="Z10" i="28"/>
  <c r="AA10" i="28"/>
  <c r="AB10" i="28"/>
  <c r="AC10" i="28"/>
  <c r="AD10" i="28"/>
  <c r="AE10" i="28"/>
  <c r="AF10" i="28"/>
  <c r="AG10" i="28"/>
  <c r="AH10" i="28"/>
  <c r="AI10" i="28"/>
  <c r="AJ10" i="28"/>
  <c r="AK10" i="28"/>
  <c r="AL10" i="28"/>
  <c r="AM10" i="28"/>
  <c r="AN10" i="28"/>
  <c r="AO10" i="28"/>
  <c r="AP10" i="28"/>
  <c r="AQ10" i="28"/>
  <c r="AR10" i="28"/>
  <c r="AS10" i="28"/>
  <c r="AT10" i="28"/>
  <c r="AU10" i="28"/>
  <c r="AV10" i="28"/>
  <c r="AW10" i="28"/>
  <c r="AX10" i="28"/>
  <c r="AY10" i="28"/>
  <c r="AZ10" i="28"/>
  <c r="BA10" i="28"/>
  <c r="BB10" i="28"/>
  <c r="BC10" i="28"/>
  <c r="BD10" i="28"/>
  <c r="BE10" i="28"/>
  <c r="BF10" i="28"/>
  <c r="BG10" i="28"/>
  <c r="BH10" i="28"/>
  <c r="BI10" i="28"/>
  <c r="P11" i="28"/>
  <c r="P14" i="28"/>
  <c r="BZ13" i="28"/>
  <c r="G11" i="28"/>
  <c r="G14" i="28"/>
  <c r="BX13" i="28"/>
  <c r="E11" i="28"/>
  <c r="BQ9" i="28"/>
  <c r="BT9" i="28"/>
  <c r="X11" i="28"/>
  <c r="X14" i="28"/>
  <c r="AC33" i="15"/>
  <c r="AP64" i="12"/>
  <c r="AP76" i="12"/>
  <c r="AO68" i="12"/>
  <c r="AO67" i="12"/>
  <c r="AK28" i="12"/>
  <c r="AO74" i="12"/>
  <c r="AO79" i="12"/>
  <c r="AJ76" i="12"/>
  <c r="AJ70" i="12"/>
  <c r="AJ67" i="12"/>
  <c r="AS69" i="12"/>
  <c r="AJ69" i="12"/>
  <c r="AJ65" i="12"/>
  <c r="AJ66" i="12"/>
  <c r="AJ77" i="12"/>
  <c r="AJ75" i="12"/>
  <c r="AJ72" i="12"/>
  <c r="AJ78" i="12"/>
  <c r="AJ74" i="12"/>
  <c r="AJ68" i="12"/>
  <c r="AJ79" i="12"/>
  <c r="AJ73" i="12"/>
  <c r="AS79" i="12"/>
  <c r="AO71" i="12"/>
  <c r="CD9" i="28"/>
  <c r="AG31" i="15"/>
  <c r="AO73" i="12"/>
  <c r="AO70" i="12"/>
  <c r="AO66" i="12"/>
  <c r="AO76" i="12"/>
  <c r="AO78" i="12"/>
  <c r="AO69" i="12"/>
  <c r="AO65" i="12"/>
  <c r="AO77" i="12"/>
  <c r="AO72" i="12"/>
  <c r="AP28" i="12"/>
  <c r="AS70" i="12"/>
  <c r="AS68" i="12"/>
  <c r="AS71" i="12"/>
  <c r="AS77" i="12"/>
  <c r="AS74" i="12"/>
  <c r="AS78" i="12"/>
  <c r="AS67" i="12"/>
  <c r="AS72" i="12"/>
  <c r="AS75" i="12"/>
  <c r="AS76" i="12"/>
  <c r="AB31" i="15"/>
  <c r="AS66" i="12"/>
  <c r="AS65" i="12"/>
  <c r="AG53" i="15"/>
  <c r="AJ28" i="12"/>
  <c r="AH71" i="12"/>
  <c r="AT11" i="28"/>
  <c r="AT14" i="28"/>
  <c r="CI9" i="28"/>
  <c r="AH68" i="12"/>
  <c r="AH70" i="12"/>
  <c r="AH66" i="12"/>
  <c r="AE11" i="28"/>
  <c r="AE14" i="28"/>
  <c r="AW11" i="28"/>
  <c r="AW14" i="28"/>
  <c r="W33" i="15"/>
  <c r="CN9" i="28"/>
  <c r="AH72" i="12"/>
  <c r="AH67" i="12"/>
  <c r="AH73" i="12"/>
  <c r="AU11" i="28"/>
  <c r="AO11" i="28"/>
  <c r="AO14" i="28"/>
  <c r="AH65" i="12"/>
  <c r="AH77" i="12"/>
  <c r="AH69" i="12"/>
  <c r="AH75" i="12"/>
  <c r="BA11" i="28"/>
  <c r="BA14" i="28"/>
  <c r="AH79" i="12"/>
  <c r="AH78" i="12"/>
  <c r="AH76" i="12"/>
  <c r="CA13" i="28"/>
  <c r="AN11" i="28"/>
  <c r="AN14" i="28"/>
  <c r="AL26" i="12"/>
  <c r="AM28" i="12"/>
  <c r="AL64" i="12"/>
  <c r="X33" i="15"/>
  <c r="AB33" i="15"/>
  <c r="CK13" i="28"/>
  <c r="AF11" i="28"/>
  <c r="CB11" i="28"/>
  <c r="U55" i="15"/>
  <c r="CE13" i="28"/>
  <c r="CI7" i="28"/>
  <c r="CG13" i="28"/>
  <c r="CF13" i="28"/>
  <c r="CM17" i="28"/>
  <c r="CL17" i="28"/>
  <c r="AQ26" i="12"/>
  <c r="AD33" i="15"/>
  <c r="AQ64" i="12"/>
  <c r="CB13" i="28"/>
  <c r="AB53" i="15"/>
  <c r="AP11" i="28"/>
  <c r="AP14" i="28"/>
  <c r="CJ13" i="28"/>
  <c r="CM13" i="28"/>
  <c r="BB11" i="28"/>
  <c r="BB14" i="28"/>
  <c r="CL13" i="28"/>
  <c r="CH13" i="28"/>
  <c r="AI11" i="28"/>
  <c r="CC11" i="28"/>
  <c r="V55" i="15"/>
  <c r="AL11" i="28"/>
  <c r="CC13" i="28"/>
  <c r="AR11" i="28"/>
  <c r="AR14" i="28"/>
  <c r="CN7" i="28"/>
  <c r="T53" i="15"/>
  <c r="W53" i="15"/>
  <c r="CD7" i="28"/>
  <c r="BD11" i="28"/>
  <c r="BC14" i="28"/>
  <c r="AS14" i="28"/>
  <c r="CJ11" i="28"/>
  <c r="AC55" i="15"/>
  <c r="AX14" i="28"/>
  <c r="CJ14" i="28"/>
  <c r="AC56" i="15"/>
  <c r="AC14" i="28"/>
  <c r="CL12" i="28"/>
  <c r="Y70" i="12"/>
  <c r="Y66" i="12"/>
  <c r="Y65" i="12"/>
  <c r="Z23" i="12"/>
  <c r="Y69" i="12"/>
  <c r="Y78" i="12"/>
  <c r="Y74" i="12"/>
  <c r="Y71" i="12"/>
  <c r="Y76" i="12"/>
  <c r="Y73" i="12"/>
  <c r="Y68" i="12"/>
  <c r="Y77" i="12"/>
  <c r="Y75" i="12"/>
  <c r="Y79" i="12"/>
  <c r="Y67" i="12"/>
  <c r="Y72" i="12"/>
  <c r="P27" i="12"/>
  <c r="W27" i="12"/>
  <c r="J29" i="12"/>
  <c r="I30" i="12"/>
  <c r="S59" i="12"/>
  <c r="S8" i="12"/>
  <c r="S57" i="12"/>
  <c r="S32" i="12"/>
  <c r="S58" i="12"/>
  <c r="S33" i="12"/>
  <c r="T7" i="12"/>
  <c r="T25" i="12"/>
  <c r="U23" i="12"/>
  <c r="AB22" i="12"/>
  <c r="K34" i="15"/>
  <c r="M33" i="15"/>
  <c r="AB79" i="12"/>
  <c r="AB76" i="12"/>
  <c r="AB69" i="12"/>
  <c r="AB71" i="12"/>
  <c r="AB67" i="12"/>
  <c r="AB75" i="12"/>
  <c r="AB68" i="12"/>
  <c r="AC23" i="12"/>
  <c r="L35" i="15"/>
  <c r="AB66" i="12"/>
  <c r="AD23" i="12"/>
  <c r="AD25" i="12"/>
  <c r="AB70" i="12"/>
  <c r="AB74" i="12"/>
  <c r="AB77" i="12"/>
  <c r="AB72" i="12"/>
  <c r="AJ23" i="12"/>
  <c r="AJ25" i="12"/>
  <c r="AB73" i="12"/>
  <c r="AB78" i="12"/>
  <c r="AB23" i="12"/>
  <c r="AD67" i="12"/>
  <c r="AA23" i="12"/>
  <c r="AA25" i="12"/>
  <c r="AD72" i="12"/>
  <c r="AL23" i="12"/>
  <c r="AL7" i="12"/>
  <c r="AD65" i="12"/>
  <c r="AD77" i="12"/>
  <c r="AB20" i="12"/>
  <c r="K32" i="15"/>
  <c r="AE28" i="12"/>
  <c r="S58" i="15"/>
  <c r="S59" i="15"/>
  <c r="AD76" i="12"/>
  <c r="AD71" i="12"/>
  <c r="AK23" i="12"/>
  <c r="AK7" i="12"/>
  <c r="AD68" i="12"/>
  <c r="BZ17" i="28"/>
  <c r="AD69" i="12"/>
  <c r="AD75" i="12"/>
  <c r="AD79" i="12"/>
  <c r="AD74" i="12"/>
  <c r="AD73" i="12"/>
  <c r="AD78" i="12"/>
  <c r="AD66" i="12"/>
  <c r="AF23" i="12"/>
  <c r="P35" i="15"/>
  <c r="BX17" i="28"/>
  <c r="BR13" i="28"/>
  <c r="BX14" i="28"/>
  <c r="Q56" i="15"/>
  <c r="O58" i="15"/>
  <c r="T11" i="28"/>
  <c r="BW11" i="28"/>
  <c r="P55" i="15"/>
  <c r="CH11" i="28"/>
  <c r="AA55" i="15"/>
  <c r="P58" i="15"/>
  <c r="Q59" i="15"/>
  <c r="BX11" i="28"/>
  <c r="Q55" i="15"/>
  <c r="BW13" i="28"/>
  <c r="BW17" i="28"/>
  <c r="BZ11" i="28"/>
  <c r="S55" i="15"/>
  <c r="I11" i="28"/>
  <c r="I14" i="28"/>
  <c r="K11" i="28"/>
  <c r="K14" i="28"/>
  <c r="AG33" i="15"/>
  <c r="M11" i="28"/>
  <c r="M14" i="28"/>
  <c r="BS13" i="28"/>
  <c r="BQ7" i="28"/>
  <c r="J53" i="15"/>
  <c r="M53" i="15"/>
  <c r="R11" i="28"/>
  <c r="R14" i="28"/>
  <c r="BQ11" i="28"/>
  <c r="J55" i="15"/>
  <c r="BQ13" i="28"/>
  <c r="AP79" i="12"/>
  <c r="AP69" i="12"/>
  <c r="AP68" i="12"/>
  <c r="E14" i="28"/>
  <c r="BQ14" i="28"/>
  <c r="J56" i="15"/>
  <c r="L11" i="28"/>
  <c r="L14" i="28"/>
  <c r="O11" i="28"/>
  <c r="O14" i="28"/>
  <c r="AP77" i="12"/>
  <c r="BV13" i="28"/>
  <c r="S11" i="28"/>
  <c r="S14" i="28"/>
  <c r="BU13" i="28"/>
  <c r="AP65" i="12"/>
  <c r="AP72" i="12"/>
  <c r="AP66" i="12"/>
  <c r="AP70" i="12"/>
  <c r="AP74" i="12"/>
  <c r="AP73" i="12"/>
  <c r="AP71" i="12"/>
  <c r="AP78" i="12"/>
  <c r="AP75" i="12"/>
  <c r="AP67" i="12"/>
  <c r="H11" i="28"/>
  <c r="H14" i="28"/>
  <c r="N11" i="28"/>
  <c r="N14" i="28"/>
  <c r="AU14" i="28"/>
  <c r="CH14" i="28"/>
  <c r="AA56" i="15"/>
  <c r="CE17" i="28"/>
  <c r="CD13" i="28"/>
  <c r="T58" i="15"/>
  <c r="CA17" i="28"/>
  <c r="CA11" i="28"/>
  <c r="T55" i="15"/>
  <c r="CA14" i="28"/>
  <c r="T56" i="15"/>
  <c r="X58" i="15"/>
  <c r="AL28" i="12"/>
  <c r="CF14" i="28"/>
  <c r="Y56" i="15"/>
  <c r="Z61" i="15"/>
  <c r="AF14" i="28"/>
  <c r="CB14" i="28"/>
  <c r="U56" i="15"/>
  <c r="AA58" i="15"/>
  <c r="CG17" i="28"/>
  <c r="CH17" i="28"/>
  <c r="U58" i="15"/>
  <c r="CJ17" i="28"/>
  <c r="AI14" i="28"/>
  <c r="CC14" i="28"/>
  <c r="V56" i="15"/>
  <c r="CB17" i="28"/>
  <c r="CE11" i="28"/>
  <c r="X55" i="15"/>
  <c r="CK11" i="28"/>
  <c r="AD55" i="15"/>
  <c r="CF17" i="28"/>
  <c r="AL68" i="12"/>
  <c r="AL75" i="12"/>
  <c r="AL71" i="12"/>
  <c r="AL67" i="12"/>
  <c r="AL78" i="12"/>
  <c r="AL69" i="12"/>
  <c r="AL73" i="12"/>
  <c r="AL72" i="12"/>
  <c r="AL66" i="12"/>
  <c r="AL74" i="12"/>
  <c r="AL65" i="12"/>
  <c r="AL77" i="12"/>
  <c r="AL79" i="12"/>
  <c r="AL76" i="12"/>
  <c r="AL70" i="12"/>
  <c r="Y58" i="15"/>
  <c r="CG11" i="28"/>
  <c r="Z55" i="15"/>
  <c r="CN13" i="28"/>
  <c r="CI13" i="28"/>
  <c r="CF11" i="28"/>
  <c r="Y55" i="15"/>
  <c r="AL14" i="28"/>
  <c r="CE14" i="28"/>
  <c r="X56" i="15"/>
  <c r="AR28" i="12"/>
  <c r="AQ28" i="12"/>
  <c r="CC17" i="28"/>
  <c r="AQ70" i="12"/>
  <c r="AQ76" i="12"/>
  <c r="AQ72" i="12"/>
  <c r="AQ71" i="12"/>
  <c r="AQ75" i="12"/>
  <c r="AQ65" i="12"/>
  <c r="AQ74" i="12"/>
  <c r="AQ67" i="12"/>
  <c r="AQ68" i="12"/>
  <c r="AQ69" i="12"/>
  <c r="AQ66" i="12"/>
  <c r="AQ73" i="12"/>
  <c r="AQ79" i="12"/>
  <c r="AQ78" i="12"/>
  <c r="AQ77" i="12"/>
  <c r="CK17" i="28"/>
  <c r="CG14" i="28"/>
  <c r="Z56" i="15"/>
  <c r="CK14" i="28"/>
  <c r="AD56" i="15"/>
  <c r="BE11" i="28"/>
  <c r="BD14" i="28"/>
  <c r="CL16" i="28"/>
  <c r="S35" i="12"/>
  <c r="AC22" i="12"/>
  <c r="Z25" i="12"/>
  <c r="Z7" i="12"/>
  <c r="I35" i="15"/>
  <c r="K29" i="12"/>
  <c r="J30" i="12"/>
  <c r="S60" i="12"/>
  <c r="T57" i="12"/>
  <c r="T8" i="12"/>
  <c r="T59" i="12"/>
  <c r="T60" i="12"/>
  <c r="T32" i="12"/>
  <c r="T58" i="12"/>
  <c r="T33" i="12"/>
  <c r="U25" i="12"/>
  <c r="Y25" i="12"/>
  <c r="U7" i="12"/>
  <c r="Y7" i="12"/>
  <c r="Y23" i="12"/>
  <c r="G35" i="15"/>
  <c r="H35" i="15"/>
  <c r="Q27" i="12"/>
  <c r="S34" i="12"/>
  <c r="AC20" i="12"/>
  <c r="L32" i="15"/>
  <c r="M32" i="15"/>
  <c r="AC7" i="12"/>
  <c r="AC57" i="12"/>
  <c r="J35" i="15"/>
  <c r="AA7" i="12"/>
  <c r="AA57" i="12"/>
  <c r="AH23" i="12"/>
  <c r="AH7" i="12"/>
  <c r="S36" i="15"/>
  <c r="AC25" i="12"/>
  <c r="AI23" i="12"/>
  <c r="T35" i="15"/>
  <c r="AG23" i="12"/>
  <c r="AG7" i="12"/>
  <c r="AG32" i="12"/>
  <c r="T14" i="28"/>
  <c r="BW14" i="28"/>
  <c r="P56" i="15"/>
  <c r="AE23" i="12"/>
  <c r="O35" i="15"/>
  <c r="B7" i="29"/>
  <c r="AB25" i="12"/>
  <c r="K35" i="15"/>
  <c r="AB7" i="12"/>
  <c r="AB8" i="12"/>
  <c r="K37" i="15"/>
  <c r="AN23" i="12"/>
  <c r="AN7" i="12"/>
  <c r="AN8" i="12"/>
  <c r="Z37" i="15"/>
  <c r="N35" i="15"/>
  <c r="AP23" i="12"/>
  <c r="AP25" i="12"/>
  <c r="T59" i="15"/>
  <c r="S61" i="15"/>
  <c r="AM23" i="12"/>
  <c r="AM25" i="12"/>
  <c r="AD7" i="12"/>
  <c r="N36" i="15"/>
  <c r="BT13" i="28"/>
  <c r="AO23" i="12"/>
  <c r="AO7" i="12"/>
  <c r="AO8" i="12"/>
  <c r="AA37" i="15"/>
  <c r="AA45" i="15"/>
  <c r="BV14" i="28"/>
  <c r="O56" i="15"/>
  <c r="BV17" i="28"/>
  <c r="K58" i="15"/>
  <c r="Q61" i="15"/>
  <c r="J58" i="15"/>
  <c r="J59" i="15"/>
  <c r="P59" i="15"/>
  <c r="AQ23" i="12"/>
  <c r="AQ7" i="12"/>
  <c r="AQ57" i="12"/>
  <c r="BS14" i="28"/>
  <c r="L56" i="15"/>
  <c r="N58" i="15"/>
  <c r="O59" i="15"/>
  <c r="BQ10" i="28"/>
  <c r="J54" i="15"/>
  <c r="BU14" i="28"/>
  <c r="N56" i="15"/>
  <c r="BT7" i="28"/>
  <c r="W55" i="15"/>
  <c r="BR11" i="28"/>
  <c r="K55" i="15"/>
  <c r="BS11" i="28"/>
  <c r="L55" i="15"/>
  <c r="BR14" i="28"/>
  <c r="K56" i="15"/>
  <c r="BY13" i="28"/>
  <c r="BU17" i="28"/>
  <c r="BV11" i="28"/>
  <c r="O55" i="15"/>
  <c r="BQ17" i="28"/>
  <c r="BS17" i="28"/>
  <c r="BR17" i="28"/>
  <c r="BU11" i="28"/>
  <c r="N55" i="15"/>
  <c r="U61" i="15"/>
  <c r="U35" i="15"/>
  <c r="AJ7" i="12"/>
  <c r="AJ59" i="12"/>
  <c r="X35" i="15"/>
  <c r="CD17" i="28"/>
  <c r="AF7" i="12"/>
  <c r="AF58" i="12"/>
  <c r="AF25" i="12"/>
  <c r="CD15" i="28"/>
  <c r="X61" i="15"/>
  <c r="AK25" i="12"/>
  <c r="V35" i="15"/>
  <c r="AB55" i="15"/>
  <c r="CD11" i="28"/>
  <c r="D6" i="29"/>
  <c r="CI17" i="28"/>
  <c r="Z58" i="15"/>
  <c r="AA59" i="15"/>
  <c r="CD14" i="28"/>
  <c r="AL25" i="12"/>
  <c r="Y61" i="15"/>
  <c r="W56" i="15"/>
  <c r="CN17" i="28"/>
  <c r="CI15" i="28"/>
  <c r="AA61" i="15"/>
  <c r="AS23" i="12"/>
  <c r="AS7" i="12"/>
  <c r="AS59" i="12"/>
  <c r="AR23" i="12"/>
  <c r="V58" i="15"/>
  <c r="X59" i="15"/>
  <c r="AD58" i="15"/>
  <c r="CI11" i="28"/>
  <c r="E6" i="29"/>
  <c r="AB56" i="15"/>
  <c r="Y59" i="15"/>
  <c r="CI14" i="28"/>
  <c r="AC58" i="15"/>
  <c r="AC59" i="15"/>
  <c r="U59" i="15"/>
  <c r="AD61" i="15"/>
  <c r="AC61" i="15"/>
  <c r="BF11" i="28"/>
  <c r="BE14" i="28"/>
  <c r="AB58" i="15"/>
  <c r="AE58" i="15"/>
  <c r="R27" i="12"/>
  <c r="Y8" i="12"/>
  <c r="G37" i="15"/>
  <c r="H37" i="15"/>
  <c r="G36" i="15"/>
  <c r="H36" i="15"/>
  <c r="Z58" i="12"/>
  <c r="I36" i="15"/>
  <c r="Z32" i="12"/>
  <c r="Z8" i="12"/>
  <c r="I37" i="15"/>
  <c r="Z57" i="12"/>
  <c r="Z59" i="12"/>
  <c r="Z33" i="12"/>
  <c r="U59" i="12"/>
  <c r="U57" i="12"/>
  <c r="Y57" i="12"/>
  <c r="U58" i="12"/>
  <c r="Y58" i="12"/>
  <c r="U8" i="12"/>
  <c r="U32" i="12"/>
  <c r="U33" i="12"/>
  <c r="Y33" i="12"/>
  <c r="T35" i="12"/>
  <c r="AD20" i="12"/>
  <c r="AC8" i="12"/>
  <c r="L37" i="15"/>
  <c r="AD22" i="12"/>
  <c r="L34" i="15"/>
  <c r="M34" i="15"/>
  <c r="AL58" i="12"/>
  <c r="AL32" i="12"/>
  <c r="AL57" i="12"/>
  <c r="AL8" i="12"/>
  <c r="X37" i="15"/>
  <c r="AL59" i="12"/>
  <c r="X36" i="15"/>
  <c r="AL33" i="12"/>
  <c r="L29" i="12"/>
  <c r="K30" i="12"/>
  <c r="AK32" i="12"/>
  <c r="AK8" i="12"/>
  <c r="V37" i="15"/>
  <c r="AK58" i="12"/>
  <c r="AK59" i="12"/>
  <c r="V36" i="15"/>
  <c r="AK57" i="12"/>
  <c r="AK33" i="12"/>
  <c r="T34" i="12"/>
  <c r="AC33" i="12"/>
  <c r="AC32" i="12"/>
  <c r="AC58" i="12"/>
  <c r="AC59" i="12"/>
  <c r="AC60" i="12"/>
  <c r="L39" i="15"/>
  <c r="L43" i="15"/>
  <c r="AH8" i="12"/>
  <c r="S37" i="15"/>
  <c r="J36" i="15"/>
  <c r="L36" i="15"/>
  <c r="AA59" i="12"/>
  <c r="AA60" i="12"/>
  <c r="J39" i="15"/>
  <c r="J43" i="15"/>
  <c r="AG59" i="12"/>
  <c r="AG60" i="12"/>
  <c r="Q39" i="15"/>
  <c r="Q43" i="15"/>
  <c r="AA33" i="12"/>
  <c r="AA8" i="12"/>
  <c r="J37" i="15"/>
  <c r="M37" i="15"/>
  <c r="AI7" i="12"/>
  <c r="T36" i="15"/>
  <c r="AA58" i="12"/>
  <c r="AA32" i="12"/>
  <c r="M35" i="15"/>
  <c r="AH32" i="12"/>
  <c r="AH25" i="12"/>
  <c r="D7" i="29"/>
  <c r="AH33" i="12"/>
  <c r="AH58" i="12"/>
  <c r="AH59" i="12"/>
  <c r="AH61" i="12"/>
  <c r="S46" i="15"/>
  <c r="AH57" i="12"/>
  <c r="S35" i="15"/>
  <c r="W35" i="15"/>
  <c r="AE25" i="12"/>
  <c r="C7" i="29"/>
  <c r="AG25" i="12"/>
  <c r="Q36" i="15"/>
  <c r="AI25" i="12"/>
  <c r="AG33" i="12"/>
  <c r="AG35" i="12"/>
  <c r="Q38" i="15"/>
  <c r="Q44" i="15"/>
  <c r="AG58" i="12"/>
  <c r="AG8" i="12"/>
  <c r="Q37" i="15"/>
  <c r="Q45" i="15"/>
  <c r="AC35" i="15"/>
  <c r="AG57" i="12"/>
  <c r="Q35" i="15"/>
  <c r="R35" i="15"/>
  <c r="Z35" i="15"/>
  <c r="AE7" i="12"/>
  <c r="AE59" i="12"/>
  <c r="AE60" i="12"/>
  <c r="O39" i="15"/>
  <c r="O43" i="15"/>
  <c r="R56" i="15"/>
  <c r="AB32" i="12"/>
  <c r="AB57" i="12"/>
  <c r="K36" i="15"/>
  <c r="AB33" i="12"/>
  <c r="AB58" i="12"/>
  <c r="AB59" i="12"/>
  <c r="AB60" i="12"/>
  <c r="K39" i="15"/>
  <c r="K43" i="15"/>
  <c r="AN25" i="12"/>
  <c r="AP7" i="12"/>
  <c r="AP58" i="12"/>
  <c r="AD32" i="12"/>
  <c r="AD8" i="12"/>
  <c r="N37" i="15"/>
  <c r="N45" i="15"/>
  <c r="AO32" i="12"/>
  <c r="AM7" i="12"/>
  <c r="AM57" i="12"/>
  <c r="Y35" i="15"/>
  <c r="AD57" i="12"/>
  <c r="AD58" i="12"/>
  <c r="AD59" i="12"/>
  <c r="AD33" i="12"/>
  <c r="AO25" i="12"/>
  <c r="AA36" i="15"/>
  <c r="E7" i="29"/>
  <c r="AA35" i="15"/>
  <c r="AO33" i="12"/>
  <c r="AO35" i="12"/>
  <c r="AA38" i="15"/>
  <c r="AA44" i="15"/>
  <c r="AO57" i="12"/>
  <c r="AO59" i="12"/>
  <c r="AO61" i="12"/>
  <c r="AA46" i="15"/>
  <c r="AO58" i="12"/>
  <c r="BY17" i="28"/>
  <c r="K59" i="15"/>
  <c r="P61" i="15"/>
  <c r="M55" i="15"/>
  <c r="O61" i="15"/>
  <c r="M56" i="15"/>
  <c r="AQ33" i="12"/>
  <c r="AQ25" i="12"/>
  <c r="BY15" i="28"/>
  <c r="AQ8" i="12"/>
  <c r="AD37" i="15"/>
  <c r="AD45" i="15"/>
  <c r="BT11" i="28"/>
  <c r="B6" i="29"/>
  <c r="AQ58" i="12"/>
  <c r="AQ59" i="12"/>
  <c r="AQ60" i="12"/>
  <c r="AD39" i="15"/>
  <c r="AD43" i="15"/>
  <c r="R57" i="15"/>
  <c r="AQ32" i="12"/>
  <c r="AD35" i="15"/>
  <c r="AD36" i="15"/>
  <c r="BT14" i="28"/>
  <c r="BR10" i="28"/>
  <c r="BY14" i="28"/>
  <c r="Z35" i="12"/>
  <c r="I38" i="15"/>
  <c r="I44" i="15"/>
  <c r="R55" i="15"/>
  <c r="BT17" i="28"/>
  <c r="L58" i="15"/>
  <c r="M58" i="15"/>
  <c r="R59" i="15"/>
  <c r="BT15" i="28"/>
  <c r="BY11" i="28"/>
  <c r="C6" i="29"/>
  <c r="AF59" i="12"/>
  <c r="AF60" i="12"/>
  <c r="P39" i="15"/>
  <c r="P43" i="15"/>
  <c r="T61" i="15"/>
  <c r="AF8" i="12"/>
  <c r="P37" i="15"/>
  <c r="P45" i="15"/>
  <c r="AF33" i="12"/>
  <c r="AF57" i="12"/>
  <c r="P36" i="15"/>
  <c r="AI59" i="12"/>
  <c r="AI60" i="12"/>
  <c r="T39" i="15"/>
  <c r="T43" i="15"/>
  <c r="AJ8" i="12"/>
  <c r="U37" i="15"/>
  <c r="U45" i="15"/>
  <c r="AJ33" i="12"/>
  <c r="AJ32" i="12"/>
  <c r="AJ58" i="12"/>
  <c r="U36" i="15"/>
  <c r="AJ57" i="12"/>
  <c r="AF32" i="12"/>
  <c r="Z59" i="15"/>
  <c r="Z34" i="12"/>
  <c r="AE59" i="15"/>
  <c r="AB57" i="15"/>
  <c r="V61" i="15"/>
  <c r="AS58" i="12"/>
  <c r="AS32" i="12"/>
  <c r="AS57" i="12"/>
  <c r="V59" i="15"/>
  <c r="AF35" i="15"/>
  <c r="AF36" i="15"/>
  <c r="AS8" i="12"/>
  <c r="AF37" i="15"/>
  <c r="AF45" i="15"/>
  <c r="AS33" i="12"/>
  <c r="AN33" i="12"/>
  <c r="Z36" i="15"/>
  <c r="AN32" i="12"/>
  <c r="F7" i="29"/>
  <c r="AD59" i="15"/>
  <c r="W57" i="15"/>
  <c r="AS25" i="12"/>
  <c r="W58" i="15"/>
  <c r="W59" i="15"/>
  <c r="AR7" i="12"/>
  <c r="AE35" i="15"/>
  <c r="AR25" i="12"/>
  <c r="AN58" i="12"/>
  <c r="AN57" i="12"/>
  <c r="AN59" i="12"/>
  <c r="AN61" i="12"/>
  <c r="Z46" i="15"/>
  <c r="AB61" i="15"/>
  <c r="BG11" i="28"/>
  <c r="BF14" i="28"/>
  <c r="CL14" i="28"/>
  <c r="AE56" i="15"/>
  <c r="CL11" i="28"/>
  <c r="AE55" i="15"/>
  <c r="CM12" i="28"/>
  <c r="CN12" i="28"/>
  <c r="AE61" i="15"/>
  <c r="U34" i="12"/>
  <c r="Y34" i="12"/>
  <c r="AK60" i="12"/>
  <c r="V39" i="15"/>
  <c r="V43" i="15"/>
  <c r="AK61" i="12"/>
  <c r="V46" i="15"/>
  <c r="AJ60" i="12"/>
  <c r="U39" i="15"/>
  <c r="U43" i="15"/>
  <c r="Z60" i="12"/>
  <c r="I39" i="15"/>
  <c r="Z61" i="12"/>
  <c r="I46" i="15"/>
  <c r="AL60" i="12"/>
  <c r="X39" i="15"/>
  <c r="X43" i="15"/>
  <c r="AL61" i="12"/>
  <c r="X46" i="15"/>
  <c r="AS60" i="12"/>
  <c r="AF39" i="15"/>
  <c r="AF43" i="15"/>
  <c r="AL34" i="12"/>
  <c r="AK35" i="12"/>
  <c r="V38" i="15"/>
  <c r="V44" i="15"/>
  <c r="AA34" i="12"/>
  <c r="Y32" i="12"/>
  <c r="Y35" i="12"/>
  <c r="G38" i="15"/>
  <c r="H38" i="15"/>
  <c r="AC35" i="12"/>
  <c r="L38" i="15"/>
  <c r="L44" i="15"/>
  <c r="I45" i="15"/>
  <c r="AK34" i="12"/>
  <c r="V45" i="15"/>
  <c r="S45" i="15"/>
  <c r="AL35" i="12"/>
  <c r="X38" i="15"/>
  <c r="X44" i="15"/>
  <c r="L45" i="15"/>
  <c r="X45" i="15"/>
  <c r="N34" i="15"/>
  <c r="AE22" i="12"/>
  <c r="K45" i="15"/>
  <c r="Z45" i="15"/>
  <c r="N32" i="15"/>
  <c r="AE20" i="12"/>
  <c r="S27" i="12"/>
  <c r="X27" i="12"/>
  <c r="M29" i="12"/>
  <c r="V29" i="12"/>
  <c r="V30" i="12"/>
  <c r="L30" i="12"/>
  <c r="U35" i="12"/>
  <c r="U60" i="12"/>
  <c r="Y60" i="12"/>
  <c r="G39" i="15"/>
  <c r="H39" i="15"/>
  <c r="Y59" i="12"/>
  <c r="AC61" i="12"/>
  <c r="L46" i="15"/>
  <c r="AC34" i="12"/>
  <c r="J45" i="15"/>
  <c r="M45" i="15"/>
  <c r="AI57" i="12"/>
  <c r="AA35" i="12"/>
  <c r="J38" i="15"/>
  <c r="J44" i="15"/>
  <c r="CM16" i="28"/>
  <c r="CN16" i="28"/>
  <c r="M36" i="15"/>
  <c r="AH60" i="12"/>
  <c r="S39" i="15"/>
  <c r="S43" i="15"/>
  <c r="W43" i="15"/>
  <c r="AI58" i="12"/>
  <c r="AE32" i="12"/>
  <c r="AH35" i="12"/>
  <c r="S38" i="15"/>
  <c r="S44" i="15"/>
  <c r="AI33" i="12"/>
  <c r="AI8" i="12"/>
  <c r="T37" i="15"/>
  <c r="T45" i="15"/>
  <c r="AI32" i="12"/>
  <c r="AA61" i="12"/>
  <c r="J46" i="15"/>
  <c r="W36" i="15"/>
  <c r="AH34" i="12"/>
  <c r="AG34" i="12"/>
  <c r="AF35" i="12"/>
  <c r="P38" i="15"/>
  <c r="P44" i="15"/>
  <c r="O36" i="15"/>
  <c r="AE33" i="12"/>
  <c r="AG61" i="12"/>
  <c r="AE57" i="12"/>
  <c r="AE8" i="12"/>
  <c r="O37" i="15"/>
  <c r="O45" i="15"/>
  <c r="AE58" i="12"/>
  <c r="AD61" i="12"/>
  <c r="N46" i="15"/>
  <c r="AB35" i="15"/>
  <c r="AB61" i="12"/>
  <c r="AB34" i="12"/>
  <c r="AB35" i="12"/>
  <c r="K38" i="15"/>
  <c r="K44" i="15"/>
  <c r="K61" i="15"/>
  <c r="AC36" i="15"/>
  <c r="AP33" i="12"/>
  <c r="AP8" i="12"/>
  <c r="AC37" i="15"/>
  <c r="AC45" i="15"/>
  <c r="AP59" i="12"/>
  <c r="AP60" i="12"/>
  <c r="AC39" i="15"/>
  <c r="AC43" i="15"/>
  <c r="AP57" i="12"/>
  <c r="AP32" i="12"/>
  <c r="AO34" i="12"/>
  <c r="AD60" i="12"/>
  <c r="N39" i="15"/>
  <c r="N43" i="15"/>
  <c r="R43" i="15"/>
  <c r="Y36" i="15"/>
  <c r="AB36" i="15"/>
  <c r="AM32" i="12"/>
  <c r="AD34" i="12"/>
  <c r="AM59" i="12"/>
  <c r="AM60" i="12"/>
  <c r="Y39" i="15"/>
  <c r="Y43" i="15"/>
  <c r="AM58" i="12"/>
  <c r="AO60" i="12"/>
  <c r="AA39" i="15"/>
  <c r="AA43" i="15"/>
  <c r="AA47" i="15"/>
  <c r="AA48" i="15"/>
  <c r="AM8" i="12"/>
  <c r="Y37" i="15"/>
  <c r="Y45" i="15"/>
  <c r="AM33" i="12"/>
  <c r="AD35" i="12"/>
  <c r="N38" i="15"/>
  <c r="N44" i="15"/>
  <c r="AQ34" i="12"/>
  <c r="AQ35" i="12"/>
  <c r="AD38" i="15"/>
  <c r="AD44" i="15"/>
  <c r="AF61" i="12"/>
  <c r="P46" i="15"/>
  <c r="AQ61" i="12"/>
  <c r="AD46" i="15"/>
  <c r="N61" i="15"/>
  <c r="R61" i="15"/>
  <c r="AG35" i="15"/>
  <c r="J61" i="15"/>
  <c r="K54" i="15"/>
  <c r="BS10" i="28"/>
  <c r="L59" i="15"/>
  <c r="L61" i="15"/>
  <c r="M57" i="15"/>
  <c r="N59" i="15"/>
  <c r="AJ61" i="12"/>
  <c r="U46" i="15"/>
  <c r="W61" i="15"/>
  <c r="AF34" i="12"/>
  <c r="W37" i="15"/>
  <c r="AJ35" i="12"/>
  <c r="U38" i="15"/>
  <c r="U44" i="15"/>
  <c r="AJ34" i="12"/>
  <c r="R36" i="15"/>
  <c r="AN60" i="12"/>
  <c r="Z39" i="15"/>
  <c r="Z43" i="15"/>
  <c r="AS61" i="12"/>
  <c r="AF46" i="15"/>
  <c r="AN34" i="12"/>
  <c r="AS34" i="12"/>
  <c r="AS35" i="12"/>
  <c r="AF38" i="15"/>
  <c r="AF44" i="15"/>
  <c r="AN35" i="12"/>
  <c r="Z38" i="15"/>
  <c r="Z44" i="15"/>
  <c r="AB59" i="15"/>
  <c r="AR58" i="12"/>
  <c r="AR33" i="12"/>
  <c r="AE36" i="15"/>
  <c r="AR8" i="12"/>
  <c r="AE37" i="15"/>
  <c r="AR57" i="12"/>
  <c r="AR59" i="12"/>
  <c r="AR32" i="12"/>
  <c r="BG14" i="28"/>
  <c r="BH11" i="28"/>
  <c r="AF58" i="15"/>
  <c r="CN15" i="28"/>
  <c r="L47" i="15"/>
  <c r="L48" i="15"/>
  <c r="T27" i="12"/>
  <c r="X47" i="15"/>
  <c r="X48" i="15"/>
  <c r="I43" i="15"/>
  <c r="M39" i="15"/>
  <c r="N29" i="12"/>
  <c r="M30" i="12"/>
  <c r="AF20" i="12"/>
  <c r="O32" i="15"/>
  <c r="O34" i="15"/>
  <c r="AF22" i="12"/>
  <c r="V47" i="15"/>
  <c r="V48" i="15"/>
  <c r="AP35" i="12"/>
  <c r="AC38" i="15"/>
  <c r="AC44" i="15"/>
  <c r="J47" i="15"/>
  <c r="J48" i="15"/>
  <c r="W39" i="15"/>
  <c r="AI61" i="12"/>
  <c r="T46" i="15"/>
  <c r="W46" i="15"/>
  <c r="S47" i="15"/>
  <c r="S48" i="15"/>
  <c r="AE35" i="12"/>
  <c r="O38" i="15"/>
  <c r="O44" i="15"/>
  <c r="R44" i="15"/>
  <c r="R45" i="15"/>
  <c r="AE34" i="12"/>
  <c r="AI35" i="12"/>
  <c r="T38" i="15"/>
  <c r="T44" i="15"/>
  <c r="W44" i="15"/>
  <c r="W45" i="15"/>
  <c r="AI34" i="12"/>
  <c r="K46" i="15"/>
  <c r="M46" i="15"/>
  <c r="Q46" i="15"/>
  <c r="Q47" i="15"/>
  <c r="Q48" i="15"/>
  <c r="AP34" i="12"/>
  <c r="P47" i="15"/>
  <c r="P48" i="15"/>
  <c r="AE61" i="12"/>
  <c r="R37" i="15"/>
  <c r="M38" i="15"/>
  <c r="M44" i="15"/>
  <c r="AG36" i="15"/>
  <c r="R39" i="15"/>
  <c r="AP61" i="12"/>
  <c r="AB43" i="15"/>
  <c r="AM34" i="12"/>
  <c r="AM35" i="12"/>
  <c r="Y38" i="15"/>
  <c r="Y44" i="15"/>
  <c r="AB44" i="15"/>
  <c r="AM61" i="12"/>
  <c r="Y46" i="15"/>
  <c r="AB37" i="15"/>
  <c r="AD47" i="15"/>
  <c r="AD48" i="15"/>
  <c r="M61" i="15"/>
  <c r="L54" i="15"/>
  <c r="M54" i="15"/>
  <c r="BT10" i="28"/>
  <c r="BU10" i="28"/>
  <c r="U47" i="15"/>
  <c r="U48" i="15"/>
  <c r="Z47" i="15"/>
  <c r="Z48" i="15"/>
  <c r="AB39" i="15"/>
  <c r="AF47" i="15"/>
  <c r="AF48" i="15"/>
  <c r="AR34" i="12"/>
  <c r="AE45" i="15"/>
  <c r="AG37" i="15"/>
  <c r="AR60" i="12"/>
  <c r="AE39" i="15"/>
  <c r="AR61" i="12"/>
  <c r="AE46" i="15"/>
  <c r="AR35" i="12"/>
  <c r="AE38" i="15"/>
  <c r="BH14" i="28"/>
  <c r="BI11" i="28"/>
  <c r="AF61" i="15"/>
  <c r="AG61" i="15"/>
  <c r="AG58" i="15"/>
  <c r="AG59" i="15"/>
  <c r="AF59" i="15"/>
  <c r="P34" i="15"/>
  <c r="AG22" i="12"/>
  <c r="N47" i="15"/>
  <c r="N48" i="15"/>
  <c r="U27" i="12"/>
  <c r="O29" i="12"/>
  <c r="N30" i="12"/>
  <c r="AG20" i="12"/>
  <c r="P32" i="15"/>
  <c r="M43" i="15"/>
  <c r="I47" i="15"/>
  <c r="I48" i="15"/>
  <c r="R38" i="15"/>
  <c r="T47" i="15"/>
  <c r="T48" i="15"/>
  <c r="W48" i="15"/>
  <c r="W38" i="15"/>
  <c r="O46" i="15"/>
  <c r="R46" i="15"/>
  <c r="R47" i="15"/>
  <c r="AC46" i="15"/>
  <c r="AC47" i="15"/>
  <c r="AC48" i="15"/>
  <c r="K47" i="15"/>
  <c r="K48" i="15"/>
  <c r="M48" i="15"/>
  <c r="M47" i="15"/>
  <c r="AB45" i="15"/>
  <c r="Y47" i="15"/>
  <c r="Y48" i="15"/>
  <c r="AB48" i="15"/>
  <c r="AB38" i="15"/>
  <c r="AB46" i="15"/>
  <c r="W47" i="15"/>
  <c r="N54" i="15"/>
  <c r="BV10" i="28"/>
  <c r="AE43" i="15"/>
  <c r="AG39" i="15"/>
  <c r="AE44" i="15"/>
  <c r="AG44" i="15"/>
  <c r="AG38" i="15"/>
  <c r="BI14" i="28"/>
  <c r="CM14" i="28"/>
  <c r="CM11" i="28"/>
  <c r="Y27" i="12"/>
  <c r="Q34" i="15"/>
  <c r="R34" i="15"/>
  <c r="AH22" i="12"/>
  <c r="Q32" i="15"/>
  <c r="R32" i="15"/>
  <c r="AH20" i="12"/>
  <c r="P29" i="12"/>
  <c r="W29" i="12"/>
  <c r="W30" i="12"/>
  <c r="O30" i="12"/>
  <c r="O47" i="15"/>
  <c r="O48" i="15"/>
  <c r="R48" i="15"/>
  <c r="AG46" i="15"/>
  <c r="AB47" i="15"/>
  <c r="O54" i="15"/>
  <c r="BW10" i="28"/>
  <c r="AG43" i="15"/>
  <c r="AG45" i="15"/>
  <c r="AE47" i="15"/>
  <c r="AE48" i="15"/>
  <c r="AG48" i="15"/>
  <c r="AF56" i="15"/>
  <c r="CN14" i="28"/>
  <c r="CN11" i="28"/>
  <c r="F6" i="29"/>
  <c r="AF55" i="15"/>
  <c r="AG55" i="15"/>
  <c r="AI22" i="12"/>
  <c r="S34" i="15"/>
  <c r="Q29" i="12"/>
  <c r="P30" i="12"/>
  <c r="Z27" i="12"/>
  <c r="S32" i="15"/>
  <c r="AI20" i="12"/>
  <c r="AG47" i="15"/>
  <c r="P54" i="15"/>
  <c r="BX10" i="28"/>
  <c r="R29" i="12"/>
  <c r="Q30" i="12"/>
  <c r="AJ20" i="12"/>
  <c r="T32" i="15"/>
  <c r="AA27" i="12"/>
  <c r="T34" i="15"/>
  <c r="AJ22" i="12"/>
  <c r="Q54" i="15"/>
  <c r="R54" i="15"/>
  <c r="BY10" i="28"/>
  <c r="BZ10" i="28"/>
  <c r="U34" i="15"/>
  <c r="AK22" i="12"/>
  <c r="U32" i="15"/>
  <c r="AK20" i="12"/>
  <c r="AB27" i="12"/>
  <c r="X29" i="12"/>
  <c r="X30" i="12"/>
  <c r="S29" i="12"/>
  <c r="R30" i="12"/>
  <c r="S54" i="15"/>
  <c r="CA10" i="28"/>
  <c r="T29" i="12"/>
  <c r="S30" i="12"/>
  <c r="AC27" i="12"/>
  <c r="V34" i="15"/>
  <c r="W34" i="15"/>
  <c r="AL22" i="12"/>
  <c r="V32" i="15"/>
  <c r="W32" i="15"/>
  <c r="AL20" i="12"/>
  <c r="CB10" i="28"/>
  <c r="T54" i="15"/>
  <c r="X34" i="15"/>
  <c r="AM22" i="12"/>
  <c r="X32" i="15"/>
  <c r="AM20" i="12"/>
  <c r="AD27" i="12"/>
  <c r="U29" i="12"/>
  <c r="T30" i="12"/>
  <c r="CC10" i="28"/>
  <c r="U54" i="15"/>
  <c r="AN22" i="12"/>
  <c r="Y34" i="15"/>
  <c r="AN20" i="12"/>
  <c r="Y32" i="15"/>
  <c r="Y29" i="12"/>
  <c r="U30" i="12"/>
  <c r="AE27" i="12"/>
  <c r="V54" i="15"/>
  <c r="W54" i="15"/>
  <c r="CD10" i="28"/>
  <c r="CE10" i="28"/>
  <c r="Z32" i="15"/>
  <c r="AO20" i="12"/>
  <c r="AF27" i="12"/>
  <c r="Z29" i="12"/>
  <c r="Y30" i="12"/>
  <c r="Z34" i="15"/>
  <c r="AO22" i="12"/>
  <c r="CF10" i="28"/>
  <c r="X54" i="15"/>
  <c r="AP22" i="12"/>
  <c r="AA34" i="15"/>
  <c r="AB34" i="15"/>
  <c r="AA32" i="15"/>
  <c r="AB32" i="15"/>
  <c r="AP20" i="12"/>
  <c r="AG27" i="12"/>
  <c r="AA29" i="12"/>
  <c r="Z30" i="12"/>
  <c r="CG10" i="28"/>
  <c r="Y54" i="15"/>
  <c r="I40" i="15"/>
  <c r="I24" i="15"/>
  <c r="I25" i="15"/>
  <c r="I26" i="15"/>
  <c r="AQ20" i="12"/>
  <c r="AC32" i="15"/>
  <c r="AB29" i="12"/>
  <c r="AA30" i="12"/>
  <c r="J40" i="15"/>
  <c r="AH27" i="12"/>
  <c r="AQ22" i="12"/>
  <c r="AC34" i="15"/>
  <c r="CH10" i="28"/>
  <c r="Z54" i="15"/>
  <c r="I62" i="15"/>
  <c r="I63" i="15"/>
  <c r="I64" i="15"/>
  <c r="AD32" i="15"/>
  <c r="AR20" i="12"/>
  <c r="J41" i="15"/>
  <c r="J24" i="15"/>
  <c r="J25" i="15"/>
  <c r="J26" i="15"/>
  <c r="J62" i="15"/>
  <c r="AI27" i="12"/>
  <c r="AR22" i="12"/>
  <c r="AD34" i="15"/>
  <c r="AC29" i="12"/>
  <c r="AB30" i="12"/>
  <c r="K40" i="15"/>
  <c r="CI10" i="28"/>
  <c r="CJ10" i="28"/>
  <c r="AA54" i="15"/>
  <c r="AB54" i="15"/>
  <c r="I21" i="15"/>
  <c r="I27" i="15"/>
  <c r="AE34" i="15"/>
  <c r="AS22" i="12"/>
  <c r="AF34" i="15"/>
  <c r="AG34" i="15"/>
  <c r="J63" i="15"/>
  <c r="K24" i="15"/>
  <c r="K25" i="15"/>
  <c r="K26" i="15"/>
  <c r="K62" i="15"/>
  <c r="K63" i="15"/>
  <c r="K64" i="15"/>
  <c r="K21" i="15"/>
  <c r="K27" i="15"/>
  <c r="K41" i="15"/>
  <c r="AJ27" i="12"/>
  <c r="AS20" i="12"/>
  <c r="AF32" i="15"/>
  <c r="AG32" i="15"/>
  <c r="AE32" i="15"/>
  <c r="AD29" i="12"/>
  <c r="AC30" i="12"/>
  <c r="L40" i="15"/>
  <c r="CK10" i="28"/>
  <c r="AC54" i="15"/>
  <c r="M40" i="15"/>
  <c r="M24" i="15"/>
  <c r="B11" i="29"/>
  <c r="L24" i="15"/>
  <c r="L25" i="15"/>
  <c r="L41" i="15"/>
  <c r="AE29" i="12"/>
  <c r="AD30" i="12"/>
  <c r="N40" i="15"/>
  <c r="AK27" i="12"/>
  <c r="J64" i="15"/>
  <c r="AD54" i="15"/>
  <c r="CL10" i="28"/>
  <c r="N41" i="15"/>
  <c r="N24" i="15"/>
  <c r="N25" i="15"/>
  <c r="N26" i="15"/>
  <c r="N62" i="15"/>
  <c r="M25" i="15"/>
  <c r="L26" i="15"/>
  <c r="AL27" i="12"/>
  <c r="J21" i="15"/>
  <c r="J27" i="15"/>
  <c r="AF29" i="12"/>
  <c r="AE30" i="12"/>
  <c r="O40" i="15"/>
  <c r="CM10" i="28"/>
  <c r="AE54" i="15"/>
  <c r="M26" i="15"/>
  <c r="B8" i="29"/>
  <c r="L62" i="15"/>
  <c r="O24" i="15"/>
  <c r="O25" i="15"/>
  <c r="O26" i="15"/>
  <c r="O41" i="15"/>
  <c r="AM27" i="12"/>
  <c r="N63" i="15"/>
  <c r="AG29" i="12"/>
  <c r="AF30" i="12"/>
  <c r="P40" i="15"/>
  <c r="CN10" i="28"/>
  <c r="AF54" i="15"/>
  <c r="AG54" i="15"/>
  <c r="O62" i="15"/>
  <c r="P24" i="15"/>
  <c r="P25" i="15"/>
  <c r="P26" i="15"/>
  <c r="P62" i="15"/>
  <c r="P63" i="15"/>
  <c r="P64" i="15"/>
  <c r="P21" i="15"/>
  <c r="P27" i="15"/>
  <c r="P41" i="15"/>
  <c r="L63" i="15"/>
  <c r="M62" i="15"/>
  <c r="AH29" i="12"/>
  <c r="AG30" i="12"/>
  <c r="Q40" i="15"/>
  <c r="AN27" i="12"/>
  <c r="N64" i="15"/>
  <c r="N21" i="15"/>
  <c r="R40" i="15"/>
  <c r="Q41" i="15"/>
  <c r="Q24" i="15"/>
  <c r="Q25" i="15"/>
  <c r="N27" i="15"/>
  <c r="AO27" i="12"/>
  <c r="O63" i="15"/>
  <c r="AI29" i="12"/>
  <c r="AH30" i="12"/>
  <c r="S40" i="15"/>
  <c r="L64" i="15"/>
  <c r="M63" i="15"/>
  <c r="O64" i="15"/>
  <c r="S41" i="15"/>
  <c r="S24" i="15"/>
  <c r="S25" i="15"/>
  <c r="S26" i="15"/>
  <c r="S62" i="15"/>
  <c r="AP27" i="12"/>
  <c r="Q26" i="15"/>
  <c r="R25" i="15"/>
  <c r="AJ29" i="12"/>
  <c r="AI30" i="12"/>
  <c r="T40" i="15"/>
  <c r="L21" i="15"/>
  <c r="M64" i="15"/>
  <c r="R41" i="15"/>
  <c r="R24" i="15"/>
  <c r="C11" i="29"/>
  <c r="S63" i="15"/>
  <c r="M21" i="15"/>
  <c r="B9" i="29"/>
  <c r="L27" i="15"/>
  <c r="R26" i="15"/>
  <c r="C8" i="29"/>
  <c r="Q62" i="15"/>
  <c r="T41" i="15"/>
  <c r="T24" i="15"/>
  <c r="T25" i="15"/>
  <c r="T26" i="15"/>
  <c r="T62" i="15"/>
  <c r="T63" i="15"/>
  <c r="T64" i="15"/>
  <c r="T21" i="15"/>
  <c r="T27" i="15"/>
  <c r="AK29" i="12"/>
  <c r="AJ30" i="12"/>
  <c r="U40" i="15"/>
  <c r="AQ27" i="12"/>
  <c r="O21" i="15"/>
  <c r="O27" i="15"/>
  <c r="M27" i="15"/>
  <c r="B10" i="29"/>
  <c r="U41" i="15"/>
  <c r="U24" i="15"/>
  <c r="U25" i="15"/>
  <c r="U26" i="15"/>
  <c r="U62" i="15"/>
  <c r="U63" i="15"/>
  <c r="U64" i="15"/>
  <c r="U21" i="15"/>
  <c r="U27" i="15"/>
  <c r="AR27" i="12"/>
  <c r="AL29" i="12"/>
  <c r="AK30" i="12"/>
  <c r="V40" i="15"/>
  <c r="Q63" i="15"/>
  <c r="R62" i="15"/>
  <c r="S64" i="15"/>
  <c r="AS27" i="12"/>
  <c r="S21" i="15"/>
  <c r="S27" i="15"/>
  <c r="Q64" i="15"/>
  <c r="R63" i="15"/>
  <c r="W40" i="15"/>
  <c r="V24" i="15"/>
  <c r="V25" i="15"/>
  <c r="V41" i="15"/>
  <c r="AM29" i="12"/>
  <c r="AL30" i="12"/>
  <c r="X40" i="15"/>
  <c r="W41" i="15"/>
  <c r="W24" i="15"/>
  <c r="D11" i="29"/>
  <c r="AN29" i="12"/>
  <c r="AM30" i="12"/>
  <c r="Y40" i="15"/>
  <c r="X24" i="15"/>
  <c r="X25" i="15"/>
  <c r="X26" i="15"/>
  <c r="X62" i="15"/>
  <c r="X41" i="15"/>
  <c r="V26" i="15"/>
  <c r="W25" i="15"/>
  <c r="Q21" i="15"/>
  <c r="R64" i="15"/>
  <c r="Y41" i="15"/>
  <c r="Y24" i="15"/>
  <c r="Y25" i="15"/>
  <c r="Y26" i="15"/>
  <c r="Y62" i="15"/>
  <c r="Y63" i="15"/>
  <c r="Y64" i="15"/>
  <c r="Y21" i="15"/>
  <c r="Y27" i="15"/>
  <c r="V62" i="15"/>
  <c r="W26" i="15"/>
  <c r="D8" i="29"/>
  <c r="AO29" i="12"/>
  <c r="AN30" i="12"/>
  <c r="Z40" i="15"/>
  <c r="R21" i="15"/>
  <c r="C9" i="29"/>
  <c r="Q27" i="15"/>
  <c r="R27" i="15"/>
  <c r="C10" i="29"/>
  <c r="X63" i="15"/>
  <c r="X64" i="15"/>
  <c r="Z41" i="15"/>
  <c r="Z24" i="15"/>
  <c r="Z25" i="15"/>
  <c r="Z26" i="15"/>
  <c r="Z62" i="15"/>
  <c r="Z63" i="15"/>
  <c r="Z64" i="15"/>
  <c r="Z21" i="15"/>
  <c r="Z27" i="15"/>
  <c r="V63" i="15"/>
  <c r="W62" i="15"/>
  <c r="AP29" i="12"/>
  <c r="AO30" i="12"/>
  <c r="AA40" i="15"/>
  <c r="AQ29" i="12"/>
  <c r="AP30" i="12"/>
  <c r="AC40" i="15"/>
  <c r="AB40" i="15"/>
  <c r="AA24" i="15"/>
  <c r="AA25" i="15"/>
  <c r="AA41" i="15"/>
  <c r="V64" i="15"/>
  <c r="W63" i="15"/>
  <c r="X21" i="15"/>
  <c r="X27" i="15"/>
  <c r="V21" i="15"/>
  <c r="W64" i="15"/>
  <c r="AC41" i="15"/>
  <c r="AC24" i="15"/>
  <c r="AC25" i="15"/>
  <c r="AC26" i="15"/>
  <c r="AC62" i="15"/>
  <c r="AR29" i="12"/>
  <c r="AQ30" i="12"/>
  <c r="AD40" i="15"/>
  <c r="AB25" i="15"/>
  <c r="AA26" i="15"/>
  <c r="AB24" i="15"/>
  <c r="E11" i="29"/>
  <c r="AB41" i="15"/>
  <c r="AC63" i="15"/>
  <c r="AA62" i="15"/>
  <c r="AB26" i="15"/>
  <c r="E8" i="29"/>
  <c r="AD41" i="15"/>
  <c r="AD24" i="15"/>
  <c r="AD25" i="15"/>
  <c r="AD26" i="15"/>
  <c r="AD62" i="15"/>
  <c r="AD63" i="15"/>
  <c r="AD64" i="15"/>
  <c r="AD21" i="15"/>
  <c r="AD27" i="15"/>
  <c r="AS29" i="12"/>
  <c r="AS30" i="12"/>
  <c r="AF40" i="15"/>
  <c r="AR30" i="12"/>
  <c r="AE40" i="15"/>
  <c r="W21" i="15"/>
  <c r="D9" i="29"/>
  <c r="V27" i="15"/>
  <c r="W27" i="15"/>
  <c r="D10" i="29"/>
  <c r="AA63" i="15"/>
  <c r="AB62" i="15"/>
  <c r="AF41" i="15"/>
  <c r="AG40" i="15"/>
  <c r="AF24" i="15"/>
  <c r="AF25" i="15"/>
  <c r="AE24" i="15"/>
  <c r="AE25" i="15"/>
  <c r="AE26" i="15"/>
  <c r="AE62" i="15"/>
  <c r="AE63" i="15"/>
  <c r="AE64" i="15"/>
  <c r="AE21" i="15"/>
  <c r="AE27" i="15"/>
  <c r="AE41" i="15"/>
  <c r="AC64" i="15"/>
  <c r="AG25" i="15"/>
  <c r="AF26" i="15"/>
  <c r="AC21" i="15"/>
  <c r="AC27" i="15"/>
  <c r="AG41" i="15"/>
  <c r="AG24" i="15"/>
  <c r="F11" i="29"/>
  <c r="AA64" i="15"/>
  <c r="AB63" i="15"/>
  <c r="AG26" i="15"/>
  <c r="F8" i="29"/>
  <c r="AF62" i="15"/>
  <c r="AA21" i="15"/>
  <c r="AB64" i="15"/>
  <c r="AB21" i="15"/>
  <c r="E9" i="29"/>
  <c r="AA27" i="15"/>
  <c r="AB27" i="15"/>
  <c r="E10" i="29"/>
  <c r="AF63" i="15"/>
  <c r="AG62" i="15"/>
  <c r="AF64" i="15"/>
  <c r="AG63" i="15"/>
  <c r="AF21" i="15"/>
  <c r="AG64" i="15"/>
  <c r="AG21" i="15"/>
  <c r="F9" i="29"/>
  <c r="AF27" i="15"/>
  <c r="AG27" i="15"/>
  <c r="F10"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19" authorId="0" shapeId="0" xr:uid="{388ED63C-7D20-4261-B91A-D422609AA2B0}">
      <text>
        <r>
          <rPr>
            <b/>
            <sz val="9"/>
            <color indexed="81"/>
            <rFont val="Segoe UI"/>
            <family val="2"/>
          </rPr>
          <t>Autor:</t>
        </r>
        <r>
          <rPr>
            <sz val="9"/>
            <color indexed="81"/>
            <rFont val="Segoe UI"/>
            <family val="2"/>
          </rPr>
          <t xml:space="preserve">
vesting portion 6 months (50%). 
</t>
        </r>
      </text>
    </comment>
    <comment ref="C21" authorId="0" shapeId="0" xr:uid="{68DAD2D7-169C-4ACC-A8F1-874AFE386B32}">
      <text>
        <r>
          <rPr>
            <b/>
            <sz val="9"/>
            <color indexed="81"/>
            <rFont val="Segoe UI"/>
            <family val="2"/>
          </rPr>
          <t>Autor:</t>
        </r>
        <r>
          <rPr>
            <sz val="9"/>
            <color indexed="81"/>
            <rFont val="Segoe UI"/>
            <family val="2"/>
          </rPr>
          <t xml:space="preserve">
Vesting Portion 6 months (50%).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24" authorId="0" shapeId="0" xr:uid="{F5098879-CE8C-4DEF-B79A-32D22EFFE416}">
      <text>
        <r>
          <rPr>
            <b/>
            <sz val="9"/>
            <color indexed="81"/>
            <rFont val="Segoe UI"/>
            <family val="2"/>
          </rPr>
          <t xml:space="preserve">Based on historical data.
</t>
        </r>
      </text>
    </comment>
    <comment ref="A26" authorId="0" shapeId="0" xr:uid="{5C27F249-3630-4369-8969-A9818EC43753}">
      <text>
        <r>
          <rPr>
            <sz val="9"/>
            <color indexed="81"/>
            <rFont val="Segoe UI"/>
            <family val="2"/>
          </rPr>
          <t>Based on historical data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22" authorId="0" shapeId="0" xr:uid="{CB94D98B-9B41-4212-950C-722261071952}">
      <text>
        <r>
          <rPr>
            <sz val="9"/>
            <color indexed="81"/>
            <rFont val="Segoe UI"/>
            <family val="2"/>
          </rPr>
          <t>total tokens avaliable</t>
        </r>
      </text>
    </comment>
    <comment ref="B35" authorId="0" shapeId="0" xr:uid="{F5A8CF3A-30D3-43DE-894C-391EC5C3617B}">
      <text>
        <r>
          <rPr>
            <sz val="9"/>
            <color indexed="81"/>
            <rFont val="Segoe UI"/>
            <family val="2"/>
          </rPr>
          <t>Average monthly active accounts per period.</t>
        </r>
      </text>
    </comment>
    <comment ref="M35" authorId="0" shapeId="0" xr:uid="{1C30FDD0-8A2E-4D20-A062-DB41AD5430D2}">
      <text>
        <r>
          <rPr>
            <b/>
            <sz val="9"/>
            <color indexed="81"/>
            <rFont val="Segoe UI"/>
            <family val="2"/>
          </rPr>
          <t xml:space="preserve">annual average number of monthly active accounts </t>
        </r>
      </text>
    </comment>
    <comment ref="B43" authorId="0" shapeId="0" xr:uid="{BBC5331C-BDD4-4BBB-9028-AC6941C49FBA}">
      <text>
        <r>
          <rPr>
            <sz val="9"/>
            <color indexed="81"/>
            <rFont val="Segoe UI"/>
            <family val="2"/>
          </rPr>
          <t xml:space="preserve">If a user will open and share trades on the SwipeStox platform using an NGC based account, we will credit double bonus to the users NAGA bonus wallet inside the NAGA WALLET. </t>
        </r>
      </text>
    </comment>
    <comment ref="B44" authorId="0" shapeId="0" xr:uid="{98E85EA0-790E-4F49-BBD6-2A7301FFCF83}">
      <text>
        <r>
          <rPr>
            <sz val="9"/>
            <color indexed="81"/>
            <rFont val="Segoe UI"/>
            <family val="2"/>
          </rPr>
          <t xml:space="preserve">NGC users will pay 50% of the trading commissions for each trade they perform on SwipeStox. </t>
        </r>
      </text>
    </comment>
    <comment ref="B45" authorId="0" shapeId="0" xr:uid="{85FC5A6E-4E82-4A74-8292-F7BA8610DBA1}">
      <text>
        <r>
          <rPr>
            <sz val="9"/>
            <color indexed="81"/>
            <rFont val="Segoe UI"/>
            <family val="2"/>
          </rPr>
          <t>For each trade made (round-turn) the trader would receive 20 USD per volume 1,000,000 USD.</t>
        </r>
      </text>
    </comment>
    <comment ref="B46" authorId="0" shapeId="0" xr:uid="{1E06D9A8-D6B3-47D9-A96F-F6494AFD599D}">
      <text>
        <r>
          <rPr>
            <b/>
            <sz val="9"/>
            <color indexed="81"/>
            <rFont val="Tahoma"/>
            <family val="2"/>
          </rPr>
          <t xml:space="preserve">SwipeStox users will get additional bonuses for being a part of a community </t>
        </r>
      </text>
    </comment>
    <comment ref="B61" authorId="0" shapeId="0" xr:uid="{8D476852-A327-46DB-B36A-F08CD028E508}">
      <text>
        <r>
          <rPr>
            <sz val="9"/>
            <color indexed="81"/>
            <rFont val="Segoe UI"/>
            <family val="2"/>
          </rPr>
          <t xml:space="preserve">The Switex platforms plans to charge a 10% fee for each purchase on its platform. Using an NGC account, Token holders will only pay 9% of the equivalent fee.
</t>
        </r>
      </text>
    </comment>
    <comment ref="B62" authorId="0" shapeId="0" xr:uid="{FD00063F-BFAF-4B18-AEA6-5168BAB6ED4A}">
      <text>
        <r>
          <rPr>
            <sz val="9"/>
            <color indexed="81"/>
            <rFont val="Segoe UI"/>
            <family val="2"/>
          </rPr>
          <t xml:space="preserve">In Switex, users who have exchanged their NGCs in Switex Coins will receive an extra bonus and thus a better exchange rate in comparison to user who exchange their FIAT money to Switex coins. NGC user will receive 5% more Switex Coins. 
</t>
        </r>
      </text>
    </comment>
  </commentList>
</comments>
</file>

<file path=xl/sharedStrings.xml><?xml version="1.0" encoding="utf-8"?>
<sst xmlns="http://schemas.openxmlformats.org/spreadsheetml/2006/main" count="472" uniqueCount="241">
  <si>
    <t>Q1 2017</t>
  </si>
  <si>
    <t>Q2 2017</t>
  </si>
  <si>
    <t>Q3 2017</t>
  </si>
  <si>
    <t>Q4 2017</t>
  </si>
  <si>
    <t>Deposits</t>
  </si>
  <si>
    <t>Accum. Deposits</t>
  </si>
  <si>
    <t>Withdrawals</t>
  </si>
  <si>
    <t>Gross operating profit</t>
  </si>
  <si>
    <t>Other costs</t>
  </si>
  <si>
    <t>FY2017</t>
  </si>
  <si>
    <t>FY2018</t>
  </si>
  <si>
    <t>FY2019</t>
  </si>
  <si>
    <t>FY2020</t>
  </si>
  <si>
    <t>Accum. Withdrawals</t>
  </si>
  <si>
    <t>Marketing</t>
  </si>
  <si>
    <t>Volume traded</t>
  </si>
  <si>
    <t>Closed trades</t>
  </si>
  <si>
    <t>Swaps</t>
  </si>
  <si>
    <t>Revenue per 1 trade:</t>
  </si>
  <si>
    <t>Number of trades per 1 active clients, monthly</t>
  </si>
  <si>
    <t>Active monthly accounts</t>
  </si>
  <si>
    <t>Revenue per 1 MLN traded</t>
  </si>
  <si>
    <t>FY2021</t>
  </si>
  <si>
    <t>FY2022</t>
  </si>
  <si>
    <t>Q1 2018</t>
  </si>
  <si>
    <t>Q2 2018</t>
  </si>
  <si>
    <t>Q3 2018</t>
  </si>
  <si>
    <t>Q4 2018</t>
  </si>
  <si>
    <t>Q4 2019</t>
  </si>
  <si>
    <t>Q3 2019</t>
  </si>
  <si>
    <t>Q2 2019</t>
  </si>
  <si>
    <t>Q1 2019</t>
  </si>
  <si>
    <t>Q1 2020</t>
  </si>
  <si>
    <t>Q2 2020</t>
  </si>
  <si>
    <t>Q3 2020</t>
  </si>
  <si>
    <t>Q4 2020</t>
  </si>
  <si>
    <t>Q1 2021</t>
  </si>
  <si>
    <t>Q2 2021</t>
  </si>
  <si>
    <t>Q3 2021</t>
  </si>
  <si>
    <t>Q4 2021</t>
  </si>
  <si>
    <t>Q4 2022</t>
  </si>
  <si>
    <t>Q1 2022</t>
  </si>
  <si>
    <t>Q2 2022</t>
  </si>
  <si>
    <t>Q3 2022</t>
  </si>
  <si>
    <t>Revenue per 1 trade</t>
  </si>
  <si>
    <t>Growth rate of organic monthly accounts</t>
  </si>
  <si>
    <t>number of Q</t>
  </si>
  <si>
    <t>Price NAGA Coin</t>
  </si>
  <si>
    <t>Trading Fees (comm &amp; swaps)</t>
  </si>
  <si>
    <t>Token Mechanics</t>
  </si>
  <si>
    <t>Token Name</t>
  </si>
  <si>
    <t>NGC</t>
  </si>
  <si>
    <t>Upper Cap (Pre-Sale)</t>
  </si>
  <si>
    <t>Free Float</t>
  </si>
  <si>
    <t>Token Privileges</t>
  </si>
  <si>
    <t>In-platform utility token</t>
  </si>
  <si>
    <t>Token Allocation</t>
  </si>
  <si>
    <t>Token Sale</t>
  </si>
  <si>
    <t>Option Pool &amp; M&amp;A Reserve</t>
  </si>
  <si>
    <t>Legal &amp; Advisory</t>
  </si>
  <si>
    <t>User acquisition (organic &amp; M&amp;A)</t>
  </si>
  <si>
    <t>Personal compensation</t>
  </si>
  <si>
    <t>Regulatory licence acquisition</t>
  </si>
  <si>
    <t>Bank-grade security &amp; code audit</t>
  </si>
  <si>
    <t>IT team &amp; Infrastructure</t>
  </si>
  <si>
    <t>Lecensing and regulatory compliance</t>
  </si>
  <si>
    <t>External Legal Services</t>
  </si>
  <si>
    <t>Other Costs</t>
  </si>
  <si>
    <t>Website</t>
  </si>
  <si>
    <t>www.nagaico.com</t>
  </si>
  <si>
    <t>Total Funding (k€)</t>
  </si>
  <si>
    <t>% of each cost group in total yearly costs:</t>
  </si>
  <si>
    <t>Model:</t>
  </si>
  <si>
    <t>Expenses (k€)</t>
  </si>
  <si>
    <t>TOTAL</t>
  </si>
  <si>
    <t>Switex:</t>
  </si>
  <si>
    <t>1. Fee reduction</t>
  </si>
  <si>
    <t>Growth in Tokens Used</t>
  </si>
  <si>
    <t>Copy Bonus</t>
  </si>
  <si>
    <t>Benefits for Token holders:</t>
  </si>
  <si>
    <t>2. Saving on commission</t>
  </si>
  <si>
    <t xml:space="preserve">3. Cashback </t>
  </si>
  <si>
    <t>Closed transaction</t>
  </si>
  <si>
    <t>Total Purchases value</t>
  </si>
  <si>
    <t>Switex</t>
  </si>
  <si>
    <t>SwipeStox</t>
  </si>
  <si>
    <t>SwipeStox:</t>
  </si>
  <si>
    <t>Number of active token holders</t>
  </si>
  <si>
    <t>New Accounts</t>
  </si>
  <si>
    <t>Accum.  Accounts</t>
  </si>
  <si>
    <t xml:space="preserve">2. Cashback </t>
  </si>
  <si>
    <t>Total Monetary benefits</t>
  </si>
  <si>
    <t>Total monetary benefits</t>
  </si>
  <si>
    <t>Min Cap (NAGA Tokens)</t>
  </si>
  <si>
    <t>Hard Cap (NAGA Tokens)</t>
  </si>
  <si>
    <t>Key assumption:</t>
  </si>
  <si>
    <t>Ventures</t>
  </si>
  <si>
    <t>Cost groups</t>
  </si>
  <si>
    <t>Accum. funded accounts</t>
  </si>
  <si>
    <t>New funded accounts</t>
  </si>
  <si>
    <t>Accum. live accounts</t>
  </si>
  <si>
    <t>New live accounts</t>
  </si>
  <si>
    <t>Growth in tokens used</t>
  </si>
  <si>
    <t>Tokens used</t>
  </si>
  <si>
    <t>1. Additional copy bonus</t>
  </si>
  <si>
    <t>External legal services</t>
  </si>
  <si>
    <t>Price per token</t>
  </si>
  <si>
    <t>Key assumptions:</t>
  </si>
  <si>
    <t>% of yearly costs allocated on Swipestox</t>
  </si>
  <si>
    <t xml:space="preserve">Expected price per Token </t>
  </si>
  <si>
    <t>actual</t>
  </si>
  <si>
    <t>forecast</t>
  </si>
  <si>
    <t>Key results:</t>
  </si>
  <si>
    <t>Average p.m. Oct 16-Sep 17</t>
  </si>
  <si>
    <t>CAC</t>
  </si>
  <si>
    <t>Average number of trades per active account, monthly</t>
  </si>
  <si>
    <t>Number of transactions per 1 active user</t>
  </si>
  <si>
    <t>Accumulated accounts</t>
  </si>
  <si>
    <t>New accounts</t>
  </si>
  <si>
    <t>Number of active monthly accounts (organic)</t>
  </si>
  <si>
    <t>Number of active monthly accounts (ICO effect)</t>
  </si>
  <si>
    <t>% of total costs by Switex</t>
  </si>
  <si>
    <t xml:space="preserve">Marketing as a % of total costs </t>
  </si>
  <si>
    <t xml:space="preserve">Quarter to month </t>
  </si>
  <si>
    <t>Purchases value</t>
  </si>
  <si>
    <t>Purchases value (organic)</t>
  </si>
  <si>
    <t>Purchases value (ICO effect)</t>
  </si>
  <si>
    <t>Additional calculations:</t>
  </si>
  <si>
    <t>Additional info:</t>
  </si>
  <si>
    <t>Copy bonus calculation:</t>
  </si>
  <si>
    <t>Copy bonus</t>
  </si>
  <si>
    <t>New accounts (organic)</t>
  </si>
  <si>
    <t>New accounts (ICO effect)</t>
  </si>
  <si>
    <t>Benefits for token holders:</t>
  </si>
  <si>
    <t>Tokens Supply</t>
  </si>
  <si>
    <t>Demand for tokens</t>
  </si>
  <si>
    <t>Number of new SwipeStox live accounts created just after ICO</t>
  </si>
  <si>
    <t>Number of new Switex accounts created just after ICO</t>
  </si>
  <si>
    <t>actual+forecast</t>
  </si>
  <si>
    <t>% of copytrades</t>
  </si>
  <si>
    <t xml:space="preserve"> % of total funding distribution by year:</t>
  </si>
  <si>
    <t>SWITEX</t>
  </si>
  <si>
    <t>SWIPESTOX</t>
  </si>
  <si>
    <t>Price per Token</t>
  </si>
  <si>
    <t>Management &amp; Team</t>
  </si>
  <si>
    <t>User acquisition (organic &amp; M&amp;A) / Marketing</t>
  </si>
  <si>
    <t>Research &amp; Development</t>
  </si>
  <si>
    <t>still will be active in 1 quarter</t>
  </si>
  <si>
    <t>still will be active in 2 quarters</t>
  </si>
  <si>
    <t>still will be active in 3 quarters</t>
  </si>
  <si>
    <t>still will be active in 4 quarters</t>
  </si>
  <si>
    <t>still will be active in 5 quarters</t>
  </si>
  <si>
    <t>still will be active in 6 quarters</t>
  </si>
  <si>
    <t>still will be active in 7 quarters</t>
  </si>
  <si>
    <t>still will be active in 8 quarters</t>
  </si>
  <si>
    <t>still will be active in 9 quarters</t>
  </si>
  <si>
    <t>still will be active in 10 quarters</t>
  </si>
  <si>
    <t>still will be active in 11 quarters</t>
  </si>
  <si>
    <t>still will be active in 12 quarters</t>
  </si>
  <si>
    <t>still will be active in 13 quarters</t>
  </si>
  <si>
    <t>still will be active in 14 quarters</t>
  </si>
  <si>
    <t>still will be active in 15 quarters</t>
  </si>
  <si>
    <t>Quarterly growth rate of organic new live accounts</t>
  </si>
  <si>
    <t>% of total costs by ventures:</t>
  </si>
  <si>
    <t>Monetary advantage per 1 token</t>
  </si>
  <si>
    <t>Monthly active accounts</t>
  </si>
  <si>
    <t>Average value of a trade</t>
  </si>
  <si>
    <t xml:space="preserve">Conversion live to funded </t>
  </si>
  <si>
    <t>Withdrawal to deposit ratio</t>
  </si>
  <si>
    <t>Monthly organic new live accounts (initial)</t>
  </si>
  <si>
    <t>Account churn, monthly</t>
  </si>
  <si>
    <t>Number of new Switex live accounts created just after ICO</t>
  </si>
  <si>
    <t>Accum. accounts</t>
  </si>
  <si>
    <t>Demand factor</t>
  </si>
  <si>
    <t xml:space="preserve">NAGA DEVELOPMENT ASSOCIATION LTD. </t>
  </si>
  <si>
    <t>EUR/USD</t>
  </si>
  <si>
    <t>Average deposit by live user</t>
  </si>
  <si>
    <t>Average monthly purchases value per active account</t>
  </si>
  <si>
    <t>Cost of acquiring 1 live account</t>
  </si>
  <si>
    <t>Accum. Net deposits</t>
  </si>
  <si>
    <t>Tokens Issued</t>
  </si>
  <si>
    <t>Name of Entity</t>
  </si>
  <si>
    <t>Number or Tokens created</t>
  </si>
  <si>
    <t>Accum. Marketing Expenses</t>
  </si>
  <si>
    <t>ICO FINANCIAL MODEL ASSUMPTIONS</t>
  </si>
  <si>
    <t>Cost of acquiring 1 live account SwipeStox</t>
  </si>
  <si>
    <t>Growth number of tokens used</t>
  </si>
  <si>
    <t>Average CAC per Switex Account</t>
  </si>
  <si>
    <t>Notes:</t>
  </si>
  <si>
    <t>ICO Investor Exit</t>
  </si>
  <si>
    <t>ICO Team Exit</t>
  </si>
  <si>
    <t>ICO natural flat sell pressure</t>
  </si>
  <si>
    <t xml:space="preserve">Monetary advantage per 1 token </t>
  </si>
  <si>
    <t>Total demand Tokens</t>
  </si>
  <si>
    <t>Total supply Tokens</t>
  </si>
  <si>
    <t xml:space="preserve">Revenues from NAGA Wallet, NAGA Academy and other planned NAGA projects are excluded. We further do not consider the re-investment of earnings into marketing. </t>
  </si>
  <si>
    <t>We assume that natural supply and demand will be balanced and additional demand will be stimulated by further company growth / generation of new accounts for SwipeStox and Switex.</t>
  </si>
  <si>
    <t>Blockchain Engeneering &amp; Testing</t>
  </si>
  <si>
    <t>Blockchain engineering &amp; testing</t>
  </si>
  <si>
    <t>Total NGC for Sale (Free float) - Funds Raised in million USD</t>
  </si>
  <si>
    <t>Total NGC for Sale (Free float)</t>
  </si>
  <si>
    <t>Commission</t>
  </si>
  <si>
    <t>Token Price  / Token Holder Advantage Value Ratio</t>
  </si>
  <si>
    <t>Historical Data</t>
  </si>
  <si>
    <t>Closed transactions</t>
  </si>
  <si>
    <t>Purchase value on platform</t>
  </si>
  <si>
    <t>% of total costs by year</t>
  </si>
  <si>
    <t xml:space="preserve">Marketing Expenses </t>
  </si>
  <si>
    <t>Estimated Numbers / Projections</t>
  </si>
  <si>
    <t>Comissions per trade</t>
  </si>
  <si>
    <t>Swaps per trade</t>
  </si>
  <si>
    <t>P/L per trade</t>
  </si>
  <si>
    <t>Profit &amp; Loss (ttrading book)</t>
  </si>
  <si>
    <t xml:space="preserve">Conversion rate live to funded </t>
  </si>
  <si>
    <t>Trades that were copied by other traders</t>
  </si>
  <si>
    <t>Trades that were not copied by other traders</t>
  </si>
  <si>
    <t>Copied trades</t>
  </si>
  <si>
    <t>Usage of Proceeds</t>
  </si>
  <si>
    <t>Since NAGA Wallet and other NAGA Projects do not require extensive external Marketing, we assume that the majority of marketing expenses will be allocated towards SwipeStox and Switex.</t>
  </si>
  <si>
    <t>Average deposit by live user SwipeStox</t>
  </si>
  <si>
    <t>Assumptions SwipeStox</t>
  </si>
  <si>
    <t>Assumptions Switex</t>
  </si>
  <si>
    <t>Initial token holders who will create a Switex account in %</t>
  </si>
  <si>
    <t>Average amount of tokens per token holder - (ICO - Avg. Token holdings)</t>
  </si>
  <si>
    <t>Trades and volume generated by SwipeStox token holders in %</t>
  </si>
  <si>
    <t>Switex Accounts that will use tokens in %</t>
  </si>
  <si>
    <t>The most important part of the business model is to generate deposits what increases the demand for NGC.</t>
  </si>
  <si>
    <t>Estimation</t>
  </si>
  <si>
    <t>Salaries &amp; Wages</t>
  </si>
  <si>
    <t xml:space="preserve">Accum. Marketing </t>
  </si>
  <si>
    <t xml:space="preserve">Number of Tokens Issued in Million </t>
  </si>
  <si>
    <t>Referral Program</t>
  </si>
  <si>
    <t>4. Follower bonus</t>
  </si>
  <si>
    <t>Copied volume</t>
  </si>
  <si>
    <t>Follower bonus based on Copied Volume SwipeStox</t>
  </si>
  <si>
    <t>Average monthly purchases value per active account on Switex</t>
  </si>
  <si>
    <t>Active Monthly User Switex (End of Year)</t>
  </si>
  <si>
    <t>Active Monthly User SwipeStox (End of Year)</t>
  </si>
  <si>
    <t>% of initial token holders who will create a Switex account</t>
  </si>
  <si>
    <t>Last Update: 10.12.2017</t>
  </si>
  <si>
    <t>Why will the demand for the NAGA coin (NGC) grow: the NGC is the base currency for all our platforms, already trading billions every month. With every new user the demand for NGC grows. As more and more users join, and will fund the NAGA Wallet in fiat or cryptocurrencies, NAGA has to keep buying NGC at the exchanges to satisfy this growing demand or the users will buy NGC directly at the exchanges - and growing demand means a growing NGC price! The supply for NGC is limited, and the demand - well there are 2 billion potential users out there!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</si>
</sst>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4" formatCode="_-* #,##0.00\ &quot;€&quot;_-;\-* #,##0.00\ &quot;€&quot;_-;_-* &quot;-&quot;??\ &quot;€&quot;_-;_-@_-"/>
    <numFmt numFmtId="43" formatCode="_-* #,##0.00\ _€_-;\-* #,##0.00\ _€_-;_-* &quot;-&quot;??\ _€_-;_-@_-"/>
    <numFmt numFmtId="164" formatCode="_(* #,##0_);_(* \(#,##0\);_(* &quot;-&quot;_);_(@_)"/>
    <numFmt numFmtId="165" formatCode="_(* #,##0.00_);_(* \(#,##0.00\);_(* &quot;-&quot;??_);_(@_)"/>
    <numFmt numFmtId="166" formatCode="_-* #,##0\ [$€-407]_-;\-* #,##0\ [$€-407]_-;_-* &quot;-&quot;??\ [$€-407]_-;_-@_-"/>
    <numFmt numFmtId="167" formatCode="_-[$€-2]\ * #,##0_-;\-[$€-2]\ * #,##0_-;_-[$€-2]\ * &quot;-&quot;??_-;_-@_-"/>
    <numFmt numFmtId="168" formatCode="_-* #,##0_-;\-* #,##0_-;_-* &quot;-&quot;??_-;_-@_-"/>
    <numFmt numFmtId="169" formatCode="&quot;$&quot;#,##0.00"/>
    <numFmt numFmtId="170" formatCode="0.0%"/>
    <numFmt numFmtId="171" formatCode="_-* #,##0.00\ [$€-407]_-;\-* #,##0.00\ [$€-407]_-;_-* &quot;-&quot;??\ [$€-407]_-;_-@_-"/>
    <numFmt numFmtId="172" formatCode="_([$€-2]\ * #,##0.00_);_([$€-2]\ * \(#,##0.00\);_([$€-2]\ * &quot;-&quot;??_);_(@_)"/>
    <numFmt numFmtId="173" formatCode="_-* #,##0\ [$€-407]_-;\-* #,##0\ [$€-407]_-;_-* &quot;-&quot;\ [$€-407]_-;_-@_-"/>
    <numFmt numFmtId="174" formatCode="_ [$$-300A]* #,##0.00_ ;_ [$$-300A]* \-#,##0.00_ ;_ [$$-300A]* &quot;-&quot;??_ ;_ @_ "/>
    <numFmt numFmtId="175" formatCode="_-[$$-1009]* #,##0.00_-;\-[$$-1009]* #,##0.00_-;_-[$$-1009]* &quot;-&quot;??_-;_-@_-"/>
    <numFmt numFmtId="176" formatCode="_ * #,##0_)\ [$€-1]_ ;_ * \(#,##0\)\ [$€-1]_ ;_ * &quot;-&quot;_)\ [$€-1]_ ;_ @_ "/>
    <numFmt numFmtId="177" formatCode="0.000%"/>
    <numFmt numFmtId="178" formatCode="0.0"/>
    <numFmt numFmtId="179" formatCode="#,##0.00\ [$€-1]"/>
    <numFmt numFmtId="180" formatCode="#,##0\ [$€-1]"/>
    <numFmt numFmtId="181" formatCode="[$$-C09]#,##0.00"/>
    <numFmt numFmtId="182" formatCode="_-[$$-409]* #,##0.00_ ;_-[$$-409]* \-#,##0.00\ ;_-[$$-409]* &quot;-&quot;??_ ;_-@_ "/>
    <numFmt numFmtId="183" formatCode="_-* #,##0\ _€_-;\-* #,##0\ _€_-;_-* &quot;-&quot;??\ _€_-;_-@_-"/>
    <numFmt numFmtId="184" formatCode="#,##0\ [$€-407]"/>
    <numFmt numFmtId="185" formatCode="_ * #,##0.00_)\ [$€-1]_ ;_ * \(#,##0.00\)\ [$€-1]_ ;_ * &quot;-&quot;??_)\ [$€-1]_ ;_ @_ "/>
    <numFmt numFmtId="186" formatCode="#,##0.0"/>
    <numFmt numFmtId="187" formatCode="[$$-409]#,##0.00"/>
    <numFmt numFmtId="188" formatCode="0.0000%"/>
  </numFmts>
  <fonts count="6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u/>
      <sz val="11"/>
      <color theme="1"/>
      <name val="Calibri"/>
      <family val="2"/>
      <scheme val="minor"/>
    </font>
    <font>
      <sz val="12"/>
      <color theme="1"/>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0"/>
      <name val="Arial"/>
      <family val="2"/>
    </font>
    <font>
      <sz val="8"/>
      <name val="Trebuchet MS"/>
      <family val="2"/>
    </font>
    <font>
      <b/>
      <sz val="12"/>
      <color theme="0"/>
      <name val="Calibri"/>
      <family val="2"/>
      <scheme val="minor"/>
    </font>
    <font>
      <b/>
      <sz val="9"/>
      <color indexed="81"/>
      <name val="Segoe UI"/>
      <family val="2"/>
    </font>
    <font>
      <sz val="9"/>
      <color indexed="81"/>
      <name val="Segoe UI"/>
      <family val="2"/>
    </font>
    <font>
      <sz val="12"/>
      <name val="Calibri"/>
      <family val="2"/>
      <scheme val="minor"/>
    </font>
    <font>
      <sz val="11"/>
      <color theme="0"/>
      <name val="Calibri"/>
      <family val="2"/>
      <scheme val="minor"/>
    </font>
    <font>
      <sz val="11"/>
      <color theme="1"/>
      <name val="Calibri"/>
      <family val="2"/>
      <scheme val="minor"/>
    </font>
    <font>
      <b/>
      <sz val="12"/>
      <color theme="0"/>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b/>
      <u/>
      <sz val="11"/>
      <color theme="1"/>
      <name val="Calibri"/>
      <family val="2"/>
      <scheme val="minor"/>
    </font>
    <font>
      <sz val="11"/>
      <color theme="2" tint="-0.499984740745262"/>
      <name val="Calibri"/>
      <family val="2"/>
      <scheme val="minor"/>
    </font>
    <font>
      <i/>
      <sz val="11"/>
      <color theme="1"/>
      <name val="Calibri"/>
      <family val="2"/>
      <scheme val="minor"/>
    </font>
    <font>
      <i/>
      <sz val="10"/>
      <color rgb="FF000000"/>
      <name val="Arial"/>
      <family val="2"/>
    </font>
    <font>
      <b/>
      <sz val="12"/>
      <name val="Calibri"/>
      <family val="2"/>
      <scheme val="minor"/>
    </font>
    <font>
      <sz val="11"/>
      <color theme="0"/>
      <name val="Calibri"/>
      <family val="2"/>
      <scheme val="minor"/>
    </font>
    <font>
      <b/>
      <sz val="11"/>
      <color rgb="FF0070C0"/>
      <name val="Calibri"/>
      <family val="2"/>
      <scheme val="minor"/>
    </font>
    <font>
      <sz val="11"/>
      <color theme="0" tint="-0.499984740745262"/>
      <name val="Calibri"/>
      <family val="2"/>
      <scheme val="minor"/>
    </font>
    <font>
      <sz val="11"/>
      <name val="Calibri"/>
      <family val="2"/>
      <scheme val="minor"/>
    </font>
    <font>
      <b/>
      <sz val="11"/>
      <name val="Calibri"/>
      <family val="2"/>
      <scheme val="minor"/>
    </font>
    <font>
      <b/>
      <sz val="12"/>
      <color theme="1"/>
      <name val="Calibri"/>
      <family val="2"/>
      <scheme val="minor"/>
    </font>
    <font>
      <sz val="11"/>
      <color theme="1"/>
      <name val="Calibri"/>
      <family val="2"/>
      <scheme val="minor"/>
    </font>
    <font>
      <b/>
      <u/>
      <sz val="11"/>
      <color theme="1"/>
      <name val="Calibri"/>
      <family val="2"/>
      <scheme val="minor"/>
    </font>
    <font>
      <b/>
      <sz val="12"/>
      <color theme="1"/>
      <name val="Calibri"/>
      <family val="2"/>
      <scheme val="minor"/>
    </font>
    <font>
      <b/>
      <sz val="12"/>
      <color theme="0"/>
      <name val="Calibri"/>
      <family val="2"/>
      <scheme val="minor"/>
    </font>
    <font>
      <b/>
      <sz val="11"/>
      <color theme="0"/>
      <name val="Calibri"/>
      <family val="2"/>
      <scheme val="minor"/>
    </font>
    <font>
      <b/>
      <sz val="11"/>
      <color theme="0" tint="-0.14999847407452621"/>
      <name val="Calibri"/>
      <family val="2"/>
      <scheme val="minor"/>
    </font>
    <font>
      <b/>
      <sz val="11"/>
      <color rgb="FF0070C0"/>
      <name val="Calibri"/>
      <family val="2"/>
      <scheme val="minor"/>
    </font>
    <font>
      <b/>
      <sz val="11"/>
      <color theme="4"/>
      <name val="Calibri"/>
      <family val="2"/>
      <scheme val="minor"/>
    </font>
    <font>
      <b/>
      <u/>
      <sz val="16"/>
      <color theme="0"/>
      <name val="Calibri"/>
      <family val="2"/>
      <scheme val="minor"/>
    </font>
    <font>
      <b/>
      <sz val="11"/>
      <color theme="1"/>
      <name val="Calibri"/>
      <family val="2"/>
      <scheme val="minor"/>
    </font>
    <font>
      <sz val="11"/>
      <color rgb="FF0070C0"/>
      <name val="Calibri"/>
      <family val="2"/>
      <scheme val="minor"/>
    </font>
    <font>
      <sz val="11"/>
      <color rgb="FFFF0000"/>
      <name val="Calibri"/>
      <family val="2"/>
      <scheme val="minor"/>
    </font>
    <font>
      <sz val="11"/>
      <color theme="3"/>
      <name val="Calibri"/>
      <family val="2"/>
      <scheme val="minor"/>
    </font>
    <font>
      <sz val="9"/>
      <color theme="1"/>
      <name val="Calibri"/>
      <family val="2"/>
      <scheme val="minor"/>
    </font>
    <font>
      <b/>
      <sz val="11"/>
      <color theme="0"/>
      <name val="Calibri"/>
      <family val="2"/>
      <scheme val="minor"/>
    </font>
    <font>
      <b/>
      <sz val="16"/>
      <color theme="0"/>
      <name val="Calibri"/>
      <family val="2"/>
      <scheme val="minor"/>
    </font>
    <font>
      <sz val="9"/>
      <color theme="0"/>
      <name val="Calibri"/>
      <family val="2"/>
      <scheme val="minor"/>
    </font>
    <font>
      <sz val="11"/>
      <color theme="0"/>
      <name val="Calibri"/>
      <family val="2"/>
      <scheme val="minor"/>
    </font>
    <font>
      <b/>
      <u/>
      <sz val="9"/>
      <color theme="0"/>
      <name val="Calibri"/>
      <family val="2"/>
      <scheme val="minor"/>
    </font>
    <font>
      <b/>
      <u/>
      <sz val="12"/>
      <name val="Calibri"/>
      <family val="2"/>
      <scheme val="minor"/>
    </font>
    <font>
      <sz val="12"/>
      <color theme="1"/>
      <name val="Calibri"/>
      <family val="2"/>
      <scheme val="minor"/>
    </font>
    <font>
      <sz val="12"/>
      <name val="Calibri"/>
      <family val="2"/>
      <scheme val="minor"/>
    </font>
    <font>
      <b/>
      <sz val="12"/>
      <name val="Calibri"/>
      <family val="2"/>
      <scheme val="minor"/>
    </font>
    <font>
      <b/>
      <sz val="9"/>
      <color theme="0"/>
      <name val="Calibri"/>
      <family val="2"/>
      <scheme val="minor"/>
    </font>
    <font>
      <b/>
      <u/>
      <sz val="12"/>
      <color rgb="FF000000"/>
      <name val="Arial"/>
      <family val="2"/>
    </font>
    <font>
      <sz val="11"/>
      <color theme="1"/>
      <name val="Calibri"/>
      <family val="2"/>
      <scheme val="minor"/>
    </font>
    <font>
      <b/>
      <sz val="12"/>
      <color rgb="FF002060"/>
      <name val="Calibri"/>
      <family val="2"/>
      <scheme val="minor"/>
    </font>
    <font>
      <b/>
      <sz val="9"/>
      <color rgb="FF002060"/>
      <name val="Calibri"/>
      <family val="2"/>
      <scheme val="minor"/>
    </font>
    <font>
      <b/>
      <sz val="11"/>
      <color theme="1"/>
      <name val="Calibri"/>
      <family val="2"/>
      <scheme val="minor"/>
    </font>
    <font>
      <b/>
      <sz val="12"/>
      <color rgb="FF001B50"/>
      <name val="Calibri"/>
      <family val="2"/>
      <scheme val="minor"/>
    </font>
    <font>
      <b/>
      <sz val="9"/>
      <color rgb="FF001B50"/>
      <name val="Calibri"/>
      <family val="2"/>
      <scheme val="minor"/>
    </font>
    <font>
      <b/>
      <sz val="18"/>
      <color rgb="FF001B50"/>
      <name val="Calibri"/>
      <family val="2"/>
      <scheme val="minor"/>
    </font>
    <font>
      <u/>
      <sz val="9"/>
      <color theme="1"/>
      <name val="Calibri"/>
      <family val="2"/>
      <scheme val="minor"/>
    </font>
    <font>
      <sz val="10"/>
      <color theme="0"/>
      <name val="Calibri"/>
      <family val="2"/>
      <scheme val="minor"/>
    </font>
    <font>
      <b/>
      <sz val="9"/>
      <color indexed="81"/>
      <name val="Tahoma"/>
      <family val="2"/>
    </font>
  </fonts>
  <fills count="12">
    <fill>
      <patternFill patternType="none"/>
    </fill>
    <fill>
      <patternFill patternType="gray125"/>
    </fill>
    <fill>
      <patternFill patternType="solid">
        <fgColor theme="0"/>
        <bgColor indexed="64"/>
      </patternFill>
    </fill>
    <fill>
      <patternFill patternType="solid">
        <fgColor rgb="FFA91B03"/>
        <bgColor indexed="64"/>
      </patternFill>
    </fill>
    <fill>
      <patternFill patternType="solid">
        <fgColor rgb="FFC00000"/>
        <bgColor indexed="64"/>
      </patternFill>
    </fill>
    <fill>
      <patternFill patternType="solid">
        <fgColor rgb="FF001B50"/>
        <bgColor indexed="64"/>
      </patternFill>
    </fill>
    <fill>
      <patternFill patternType="solid">
        <fgColor theme="7"/>
        <bgColor indexed="64"/>
      </patternFill>
    </fill>
    <fill>
      <patternFill patternType="solid">
        <fgColor theme="0" tint="-0.14999847407452621"/>
        <bgColor indexed="64"/>
      </patternFill>
    </fill>
    <fill>
      <patternFill patternType="solid">
        <fgColor rgb="FF7A0000"/>
        <bgColor indexed="64"/>
      </patternFill>
    </fill>
    <fill>
      <patternFill patternType="solid">
        <fgColor theme="1"/>
        <bgColor indexed="64"/>
      </patternFill>
    </fill>
    <fill>
      <patternFill patternType="solid">
        <fgColor theme="7" tint="0.79998168889431442"/>
        <bgColor indexed="64"/>
      </patternFill>
    </fill>
    <fill>
      <patternFill patternType="solid">
        <fgColor rgb="FFFFFF00"/>
        <bgColor indexed="64"/>
      </patternFill>
    </fill>
  </fills>
  <borders count="61">
    <border>
      <left/>
      <right/>
      <top/>
      <bottom/>
      <diagonal/>
    </border>
    <border>
      <left style="thin">
        <color auto="1"/>
      </left>
      <right/>
      <top/>
      <bottom/>
      <diagonal/>
    </border>
    <border>
      <left/>
      <right style="thin">
        <color auto="1"/>
      </right>
      <top/>
      <bottom/>
      <diagonal/>
    </border>
    <border>
      <left style="medium">
        <color auto="1"/>
      </left>
      <right style="medium">
        <color auto="1"/>
      </right>
      <top/>
      <bottom/>
      <diagonal/>
    </border>
    <border>
      <left/>
      <right/>
      <top style="thin">
        <color auto="1"/>
      </top>
      <bottom/>
      <diagonal/>
    </border>
    <border>
      <left/>
      <right/>
      <top/>
      <bottom style="thin">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auto="1"/>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auto="1"/>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auto="1"/>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auto="1"/>
      </top>
      <bottom style="thin">
        <color auto="1"/>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top style="medium">
        <color auto="1"/>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right/>
      <top style="medium">
        <color indexed="64"/>
      </top>
      <bottom style="thin">
        <color auto="1"/>
      </bottom>
      <diagonal/>
    </border>
    <border>
      <left style="thin">
        <color auto="1"/>
      </left>
      <right/>
      <top style="medium">
        <color indexed="64"/>
      </top>
      <bottom style="thin">
        <color auto="1"/>
      </bottom>
      <diagonal/>
    </border>
    <border>
      <left style="medium">
        <color indexed="64"/>
      </left>
      <right/>
      <top/>
      <bottom style="thin">
        <color auto="1"/>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top style="medium">
        <color indexed="64"/>
      </top>
      <bottom/>
      <diagonal/>
    </border>
    <border>
      <left style="thin">
        <color auto="1"/>
      </left>
      <right/>
      <top style="medium">
        <color indexed="64"/>
      </top>
      <bottom/>
      <diagonal/>
    </border>
    <border>
      <left style="medium">
        <color indexed="64"/>
      </left>
      <right/>
      <top style="thin">
        <color auto="1"/>
      </top>
      <bottom/>
      <diagonal/>
    </border>
  </borders>
  <cellStyleXfs count="27">
    <xf numFmtId="0" fontId="0"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5" fontId="9" fillId="0" borderId="0" applyFont="0" applyFill="0" applyBorder="0" applyAlignment="0" applyProtection="0"/>
    <xf numFmtId="0" fontId="10" fillId="0" borderId="0"/>
    <xf numFmtId="0" fontId="7" fillId="0" borderId="0" applyNumberFormat="0" applyFill="0" applyBorder="0" applyAlignment="0" applyProtection="0"/>
    <xf numFmtId="0" fontId="9" fillId="0" borderId="0"/>
    <xf numFmtId="4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9" fillId="0" borderId="0"/>
    <xf numFmtId="9" fontId="9" fillId="0" borderId="0" applyFont="0" applyFill="0" applyBorder="0" applyAlignment="0" applyProtection="0"/>
    <xf numFmtId="0" fontId="9" fillId="0" borderId="0"/>
    <xf numFmtId="0" fontId="1" fillId="0" borderId="0"/>
  </cellStyleXfs>
  <cellXfs count="653">
    <xf numFmtId="0" fontId="0" fillId="0" borderId="0" xfId="0"/>
    <xf numFmtId="0" fontId="0" fillId="2" borderId="0" xfId="0" applyFill="1"/>
    <xf numFmtId="0" fontId="0" fillId="2" borderId="3" xfId="0" applyFill="1" applyBorder="1"/>
    <xf numFmtId="9" fontId="0" fillId="2" borderId="0" xfId="3" applyFont="1" applyFill="1"/>
    <xf numFmtId="0" fontId="0" fillId="2" borderId="0" xfId="0" applyFill="1" applyAlignment="1">
      <alignment horizontal="right"/>
    </xf>
    <xf numFmtId="0" fontId="0" fillId="2" borderId="0" xfId="0" applyFill="1" applyAlignment="1">
      <alignment horizontal="center"/>
    </xf>
    <xf numFmtId="170" fontId="0" fillId="2" borderId="0" xfId="3" applyNumberFormat="1" applyFont="1" applyFill="1"/>
    <xf numFmtId="0" fontId="1" fillId="0" borderId="0" xfId="0" applyFont="1"/>
    <xf numFmtId="9" fontId="1" fillId="0" borderId="0" xfId="0" applyNumberFormat="1" applyFont="1" applyAlignment="1">
      <alignment horizontal="center"/>
    </xf>
    <xf numFmtId="0" fontId="3" fillId="0" borderId="22" xfId="0" applyFont="1" applyBorder="1" applyAlignment="1">
      <alignment horizontal="center"/>
    </xf>
    <xf numFmtId="0" fontId="3" fillId="0" borderId="23" xfId="0" applyFont="1" applyBorder="1" applyAlignment="1">
      <alignment horizontal="center"/>
    </xf>
    <xf numFmtId="0" fontId="1" fillId="0" borderId="0" xfId="0" applyFont="1" applyBorder="1"/>
    <xf numFmtId="3" fontId="1" fillId="0" borderId="1" xfId="0" applyNumberFormat="1" applyFont="1" applyBorder="1" applyAlignment="1">
      <alignment horizontal="center"/>
    </xf>
    <xf numFmtId="3" fontId="1" fillId="0" borderId="0" xfId="0" applyNumberFormat="1" applyFont="1" applyBorder="1" applyAlignment="1">
      <alignment horizontal="center"/>
    </xf>
    <xf numFmtId="3" fontId="1" fillId="0" borderId="2" xfId="0" applyNumberFormat="1" applyFont="1" applyBorder="1" applyAlignment="1">
      <alignment horizontal="center"/>
    </xf>
    <xf numFmtId="3" fontId="1" fillId="0" borderId="25" xfId="0" applyNumberFormat="1" applyFont="1" applyBorder="1" applyAlignment="1">
      <alignment horizontal="center"/>
    </xf>
    <xf numFmtId="0" fontId="1" fillId="0" borderId="0" xfId="0" applyFont="1" applyBorder="1" applyAlignment="1">
      <alignment horizontal="center"/>
    </xf>
    <xf numFmtId="0" fontId="1" fillId="2" borderId="0" xfId="0" applyFont="1" applyFill="1"/>
    <xf numFmtId="0" fontId="0" fillId="2" borderId="0" xfId="0" applyFont="1" applyFill="1"/>
    <xf numFmtId="173" fontId="1" fillId="0" borderId="0" xfId="0" applyNumberFormat="1" applyFont="1"/>
    <xf numFmtId="0" fontId="1" fillId="0" borderId="0" xfId="0" applyFont="1" applyFill="1" applyBorder="1"/>
    <xf numFmtId="170" fontId="1" fillId="0" borderId="0" xfId="0" applyNumberFormat="1" applyFont="1" applyBorder="1" applyAlignment="1">
      <alignment horizontal="center"/>
    </xf>
    <xf numFmtId="0" fontId="0" fillId="0" borderId="0" xfId="0" applyFont="1" applyBorder="1"/>
    <xf numFmtId="9" fontId="1" fillId="0" borderId="0" xfId="0" applyNumberFormat="1" applyFont="1" applyBorder="1"/>
    <xf numFmtId="170" fontId="6" fillId="3" borderId="19" xfId="1" applyNumberFormat="1" applyFont="1" applyFill="1" applyBorder="1" applyAlignment="1">
      <alignment horizontal="right"/>
    </xf>
    <xf numFmtId="170" fontId="1" fillId="0" borderId="0" xfId="0" applyNumberFormat="1" applyFont="1"/>
    <xf numFmtId="10" fontId="1" fillId="0" borderId="0" xfId="0" applyNumberFormat="1" applyFont="1"/>
    <xf numFmtId="177" fontId="1" fillId="0" borderId="0" xfId="0" applyNumberFormat="1" applyFont="1"/>
    <xf numFmtId="0" fontId="1" fillId="2" borderId="16" xfId="0" applyFont="1" applyFill="1" applyBorder="1"/>
    <xf numFmtId="0" fontId="1" fillId="0" borderId="16" xfId="0" applyFont="1" applyBorder="1"/>
    <xf numFmtId="0" fontId="1" fillId="0" borderId="8" xfId="0" applyFont="1" applyBorder="1"/>
    <xf numFmtId="0" fontId="3" fillId="0" borderId="35" xfId="0" applyFont="1" applyBorder="1" applyAlignment="1">
      <alignment horizontal="center"/>
    </xf>
    <xf numFmtId="0" fontId="0" fillId="2" borderId="36" xfId="0" applyFill="1" applyBorder="1"/>
    <xf numFmtId="10" fontId="1" fillId="0" borderId="0" xfId="0" applyNumberFormat="1" applyFont="1" applyBorder="1"/>
    <xf numFmtId="177" fontId="1" fillId="0" borderId="0" xfId="0" applyNumberFormat="1" applyFont="1" applyBorder="1"/>
    <xf numFmtId="9" fontId="11" fillId="3" borderId="18" xfId="1" applyNumberFormat="1" applyFont="1" applyFill="1" applyBorder="1" applyAlignment="1">
      <alignment horizontal="right"/>
    </xf>
    <xf numFmtId="9" fontId="11" fillId="3" borderId="38" xfId="1" applyNumberFormat="1" applyFont="1" applyFill="1" applyBorder="1" applyAlignment="1">
      <alignment horizontal="right"/>
    </xf>
    <xf numFmtId="9" fontId="11" fillId="3" borderId="32" xfId="1" applyNumberFormat="1" applyFont="1" applyFill="1" applyBorder="1" applyAlignment="1">
      <alignment horizontal="right"/>
    </xf>
    <xf numFmtId="0" fontId="3" fillId="0" borderId="34" xfId="0" applyFont="1" applyBorder="1"/>
    <xf numFmtId="3" fontId="3" fillId="0" borderId="16" xfId="0" applyNumberFormat="1" applyFont="1" applyBorder="1" applyAlignment="1">
      <alignment horizontal="center"/>
    </xf>
    <xf numFmtId="0" fontId="0" fillId="0" borderId="34" xfId="0" applyFont="1" applyBorder="1" applyAlignment="1">
      <alignment horizontal="left"/>
    </xf>
    <xf numFmtId="0" fontId="0" fillId="0" borderId="39" xfId="0" applyFont="1" applyBorder="1" applyAlignment="1">
      <alignment horizontal="left"/>
    </xf>
    <xf numFmtId="0" fontId="0" fillId="0" borderId="37" xfId="0" applyFont="1" applyBorder="1" applyAlignment="1">
      <alignment horizontal="left"/>
    </xf>
    <xf numFmtId="0" fontId="0" fillId="0" borderId="13" xfId="0" applyFont="1" applyBorder="1" applyAlignment="1">
      <alignment horizontal="left"/>
    </xf>
    <xf numFmtId="0" fontId="4" fillId="0" borderId="0" xfId="0" applyFont="1" applyBorder="1"/>
    <xf numFmtId="0" fontId="4" fillId="0" borderId="8" xfId="0" applyFont="1" applyBorder="1"/>
    <xf numFmtId="0" fontId="4" fillId="0" borderId="0" xfId="0" applyFont="1"/>
    <xf numFmtId="3" fontId="1" fillId="0" borderId="14" xfId="0" applyNumberFormat="1" applyFont="1" applyBorder="1" applyAlignment="1">
      <alignment horizontal="center"/>
    </xf>
    <xf numFmtId="3" fontId="1" fillId="0" borderId="10" xfId="0" applyNumberFormat="1" applyFont="1" applyBorder="1" applyAlignment="1">
      <alignment horizontal="center"/>
    </xf>
    <xf numFmtId="3" fontId="1" fillId="0" borderId="5" xfId="0" applyNumberFormat="1" applyFont="1" applyBorder="1" applyAlignment="1">
      <alignment horizontal="center"/>
    </xf>
    <xf numFmtId="3" fontId="1" fillId="0" borderId="12" xfId="0" applyNumberFormat="1" applyFont="1" applyBorder="1" applyAlignment="1">
      <alignment horizontal="center"/>
    </xf>
    <xf numFmtId="3" fontId="1" fillId="0" borderId="15" xfId="0" applyNumberFormat="1" applyFont="1" applyBorder="1" applyAlignment="1">
      <alignment horizontal="center"/>
    </xf>
    <xf numFmtId="3" fontId="3" fillId="0" borderId="18" xfId="0" applyNumberFormat="1" applyFont="1" applyBorder="1" applyAlignment="1">
      <alignment horizontal="center"/>
    </xf>
    <xf numFmtId="170" fontId="14" fillId="2" borderId="33" xfId="1" applyNumberFormat="1" applyFont="1" applyFill="1" applyBorder="1" applyAlignment="1">
      <alignment horizontal="left"/>
    </xf>
    <xf numFmtId="170" fontId="14" fillId="2" borderId="29" xfId="1" applyNumberFormat="1" applyFont="1" applyFill="1" applyBorder="1" applyAlignment="1">
      <alignment horizontal="left"/>
    </xf>
    <xf numFmtId="170" fontId="14" fillId="2" borderId="27" xfId="1" applyNumberFormat="1" applyFont="1" applyFill="1" applyBorder="1" applyAlignment="1">
      <alignment horizontal="left"/>
    </xf>
    <xf numFmtId="0" fontId="5" fillId="2" borderId="0" xfId="0" applyFont="1" applyFill="1" applyAlignment="1">
      <alignment horizontal="right"/>
    </xf>
    <xf numFmtId="0" fontId="7" fillId="2" borderId="0" xfId="18" applyFill="1" applyAlignment="1">
      <alignment horizontal="right"/>
    </xf>
    <xf numFmtId="0" fontId="4" fillId="2" borderId="0" xfId="0" applyFont="1" applyFill="1"/>
    <xf numFmtId="170" fontId="6" fillId="3" borderId="21" xfId="1" applyNumberFormat="1" applyFont="1" applyFill="1" applyBorder="1" applyAlignment="1">
      <alignment horizontal="right"/>
    </xf>
    <xf numFmtId="170" fontId="6" fillId="3" borderId="24" xfId="1" applyNumberFormat="1" applyFont="1" applyFill="1" applyBorder="1" applyAlignment="1">
      <alignment horizontal="right"/>
    </xf>
    <xf numFmtId="170" fontId="6" fillId="3" borderId="30" xfId="1" applyNumberFormat="1" applyFont="1" applyFill="1" applyBorder="1" applyAlignment="1">
      <alignment horizontal="right"/>
    </xf>
    <xf numFmtId="170" fontId="6" fillId="3" borderId="28" xfId="1" applyNumberFormat="1" applyFont="1" applyFill="1" applyBorder="1" applyAlignment="1">
      <alignment horizontal="right"/>
    </xf>
    <xf numFmtId="170" fontId="6" fillId="3" borderId="31" xfId="1" applyNumberFormat="1" applyFont="1" applyFill="1" applyBorder="1" applyAlignment="1">
      <alignment horizontal="right"/>
    </xf>
    <xf numFmtId="0" fontId="0" fillId="0" borderId="0" xfId="0" applyFont="1"/>
    <xf numFmtId="178" fontId="0" fillId="0" borderId="0" xfId="0" applyNumberFormat="1"/>
    <xf numFmtId="0" fontId="16" fillId="2" borderId="0" xfId="0" applyFont="1" applyFill="1"/>
    <xf numFmtId="0" fontId="16" fillId="0" borderId="0" xfId="0" applyFont="1"/>
    <xf numFmtId="0" fontId="16" fillId="2" borderId="1" xfId="0" applyFont="1" applyFill="1" applyBorder="1"/>
    <xf numFmtId="0" fontId="16" fillId="2" borderId="0" xfId="0" applyFont="1" applyFill="1" applyBorder="1"/>
    <xf numFmtId="0" fontId="16" fillId="0" borderId="0" xfId="0" applyFont="1" applyBorder="1"/>
    <xf numFmtId="0" fontId="19" fillId="2" borderId="0" xfId="0" applyFont="1" applyFill="1" applyBorder="1" applyAlignment="1">
      <alignment horizontal="center"/>
    </xf>
    <xf numFmtId="0" fontId="16" fillId="2" borderId="2" xfId="0" applyFont="1" applyFill="1" applyBorder="1"/>
    <xf numFmtId="0" fontId="20" fillId="2" borderId="1" xfId="0" applyFont="1" applyFill="1" applyBorder="1"/>
    <xf numFmtId="167" fontId="16" fillId="2" borderId="4" xfId="0" applyNumberFormat="1" applyFont="1" applyFill="1" applyBorder="1"/>
    <xf numFmtId="167" fontId="16" fillId="2" borderId="0" xfId="0" applyNumberFormat="1" applyFont="1" applyFill="1" applyBorder="1"/>
    <xf numFmtId="0" fontId="16" fillId="2" borderId="4" xfId="0" applyFont="1" applyFill="1" applyBorder="1"/>
    <xf numFmtId="168" fontId="16" fillId="2" borderId="0" xfId="1" applyNumberFormat="1" applyFont="1" applyFill="1" applyBorder="1"/>
    <xf numFmtId="168" fontId="16" fillId="2" borderId="0" xfId="0" applyNumberFormat="1" applyFont="1" applyFill="1" applyBorder="1"/>
    <xf numFmtId="166" fontId="16" fillId="2" borderId="0" xfId="0" applyNumberFormat="1" applyFont="1" applyFill="1" applyBorder="1"/>
    <xf numFmtId="172" fontId="16" fillId="2" borderId="0" xfId="0" applyNumberFormat="1" applyFont="1" applyFill="1" applyBorder="1" applyAlignment="1">
      <alignment horizontal="left" indent="2"/>
    </xf>
    <xf numFmtId="0" fontId="16" fillId="2" borderId="10" xfId="0" applyFont="1" applyFill="1" applyBorder="1"/>
    <xf numFmtId="172" fontId="16" fillId="2" borderId="5" xfId="0" applyNumberFormat="1" applyFont="1" applyFill="1" applyBorder="1" applyAlignment="1">
      <alignment horizontal="left" indent="2"/>
    </xf>
    <xf numFmtId="167" fontId="16" fillId="2" borderId="5" xfId="0" applyNumberFormat="1" applyFont="1" applyFill="1" applyBorder="1"/>
    <xf numFmtId="0" fontId="21" fillId="2" borderId="1" xfId="0" applyFont="1" applyFill="1" applyBorder="1"/>
    <xf numFmtId="0" fontId="22" fillId="2" borderId="1" xfId="0" applyFont="1" applyFill="1" applyBorder="1"/>
    <xf numFmtId="0" fontId="22" fillId="2" borderId="0" xfId="0" applyFont="1" applyFill="1" applyBorder="1"/>
    <xf numFmtId="167" fontId="23" fillId="2" borderId="0" xfId="0" applyNumberFormat="1" applyFont="1" applyFill="1" applyBorder="1"/>
    <xf numFmtId="37" fontId="16" fillId="2" borderId="0" xfId="0" applyNumberFormat="1" applyFont="1" applyFill="1" applyBorder="1"/>
    <xf numFmtId="168" fontId="16" fillId="2" borderId="5" xfId="1" applyNumberFormat="1" applyFont="1" applyFill="1" applyBorder="1"/>
    <xf numFmtId="0" fontId="21" fillId="2" borderId="9" xfId="0" applyFont="1" applyFill="1" applyBorder="1"/>
    <xf numFmtId="165" fontId="16" fillId="2" borderId="4" xfId="0" applyNumberFormat="1" applyFont="1" applyFill="1" applyBorder="1"/>
    <xf numFmtId="0" fontId="16" fillId="2" borderId="9" xfId="0" applyFont="1" applyFill="1" applyBorder="1"/>
    <xf numFmtId="166" fontId="16" fillId="2" borderId="4" xfId="0" applyNumberFormat="1" applyFont="1" applyFill="1" applyBorder="1"/>
    <xf numFmtId="166" fontId="16" fillId="2" borderId="5" xfId="0" applyNumberFormat="1" applyFont="1" applyFill="1" applyBorder="1"/>
    <xf numFmtId="169" fontId="24" fillId="2" borderId="0" xfId="0" applyNumberFormat="1" applyFont="1" applyFill="1" applyBorder="1"/>
    <xf numFmtId="0" fontId="25" fillId="2" borderId="19" xfId="4" applyFont="1" applyFill="1" applyBorder="1"/>
    <xf numFmtId="173" fontId="17" fillId="3" borderId="19" xfId="1" applyNumberFormat="1" applyFont="1" applyFill="1" applyBorder="1" applyAlignment="1">
      <alignment horizontal="right"/>
    </xf>
    <xf numFmtId="171" fontId="17" fillId="3" borderId="19" xfId="1" applyNumberFormat="1" applyFont="1" applyFill="1" applyBorder="1" applyAlignment="1">
      <alignment horizontal="right"/>
    </xf>
    <xf numFmtId="0" fontId="25" fillId="2" borderId="15" xfId="4" applyFont="1" applyFill="1" applyBorder="1"/>
    <xf numFmtId="170" fontId="17" fillId="3" borderId="19" xfId="1" applyNumberFormat="1" applyFont="1" applyFill="1" applyBorder="1" applyAlignment="1">
      <alignment horizontal="right"/>
    </xf>
    <xf numFmtId="10" fontId="16" fillId="2" borderId="0" xfId="0" applyNumberFormat="1" applyFont="1" applyFill="1" applyBorder="1"/>
    <xf numFmtId="0" fontId="25" fillId="2" borderId="14" xfId="4" applyFont="1" applyFill="1" applyBorder="1"/>
    <xf numFmtId="1" fontId="17" fillId="3" borderId="19" xfId="1" applyNumberFormat="1" applyFont="1" applyFill="1" applyBorder="1" applyAlignment="1">
      <alignment horizontal="right"/>
    </xf>
    <xf numFmtId="166" fontId="20" fillId="2" borderId="4" xfId="0" applyNumberFormat="1" applyFont="1" applyFill="1" applyBorder="1"/>
    <xf numFmtId="0" fontId="20" fillId="2" borderId="0" xfId="0" applyFont="1" applyFill="1"/>
    <xf numFmtId="0" fontId="20" fillId="2" borderId="5" xfId="0" applyFont="1" applyFill="1" applyBorder="1"/>
    <xf numFmtId="0" fontId="26" fillId="2" borderId="0" xfId="0" applyFont="1" applyFill="1"/>
    <xf numFmtId="166" fontId="26" fillId="2" borderId="0" xfId="0" applyNumberFormat="1" applyFont="1" applyFill="1"/>
    <xf numFmtId="164" fontId="16" fillId="2" borderId="4" xfId="0" applyNumberFormat="1" applyFont="1" applyFill="1" applyBorder="1"/>
    <xf numFmtId="164" fontId="16" fillId="2" borderId="0" xfId="0" applyNumberFormat="1" applyFont="1" applyFill="1" applyBorder="1"/>
    <xf numFmtId="9" fontId="16" fillId="2" borderId="0" xfId="0" applyNumberFormat="1" applyFont="1" applyFill="1"/>
    <xf numFmtId="0" fontId="27" fillId="2" borderId="0" xfId="0" applyNumberFormat="1" applyFont="1" applyFill="1" applyBorder="1" applyAlignment="1">
      <alignment horizontal="center"/>
    </xf>
    <xf numFmtId="0" fontId="28" fillId="2" borderId="0" xfId="0" applyFont="1" applyFill="1"/>
    <xf numFmtId="165" fontId="16" fillId="2" borderId="42" xfId="0" applyNumberFormat="1" applyFont="1" applyFill="1" applyBorder="1"/>
    <xf numFmtId="0" fontId="22" fillId="2" borderId="9" xfId="0" applyFont="1" applyFill="1" applyBorder="1"/>
    <xf numFmtId="0" fontId="22" fillId="2" borderId="4" xfId="0" applyFont="1" applyFill="1" applyBorder="1"/>
    <xf numFmtId="37" fontId="16" fillId="2" borderId="5" xfId="0" applyNumberFormat="1" applyFont="1" applyFill="1" applyBorder="1"/>
    <xf numFmtId="168" fontId="16" fillId="2" borderId="4" xfId="1" applyNumberFormat="1" applyFont="1" applyFill="1" applyBorder="1"/>
    <xf numFmtId="168" fontId="16" fillId="2" borderId="4" xfId="0" applyNumberFormat="1" applyFont="1" applyFill="1" applyBorder="1"/>
    <xf numFmtId="0" fontId="16" fillId="2" borderId="42" xfId="0" applyFont="1" applyFill="1" applyBorder="1"/>
    <xf numFmtId="0" fontId="29" fillId="2" borderId="1" xfId="0" applyFont="1" applyFill="1" applyBorder="1"/>
    <xf numFmtId="166" fontId="29" fillId="2" borderId="0" xfId="0" applyNumberFormat="1" applyFont="1" applyFill="1" applyBorder="1"/>
    <xf numFmtId="0" fontId="29" fillId="2" borderId="10" xfId="0" applyFont="1" applyFill="1" applyBorder="1"/>
    <xf numFmtId="166" fontId="29" fillId="2" borderId="5" xfId="0" applyNumberFormat="1" applyFont="1" applyFill="1" applyBorder="1"/>
    <xf numFmtId="166" fontId="29" fillId="2" borderId="12" xfId="0" applyNumberFormat="1" applyFont="1" applyFill="1" applyBorder="1"/>
    <xf numFmtId="0" fontId="0" fillId="0" borderId="1" xfId="0" applyBorder="1"/>
    <xf numFmtId="9" fontId="0" fillId="0" borderId="0" xfId="0" applyNumberFormat="1"/>
    <xf numFmtId="0" fontId="0" fillId="2" borderId="0" xfId="0" applyFill="1" applyBorder="1"/>
    <xf numFmtId="3" fontId="0" fillId="2" borderId="0" xfId="0" applyNumberFormat="1" applyFill="1" applyBorder="1"/>
    <xf numFmtId="165" fontId="16" fillId="2" borderId="0" xfId="0" applyNumberFormat="1" applyFont="1" applyFill="1" applyBorder="1"/>
    <xf numFmtId="0" fontId="29" fillId="2" borderId="0" xfId="0" applyFont="1" applyFill="1" applyBorder="1"/>
    <xf numFmtId="167" fontId="20" fillId="2" borderId="4" xfId="0" applyNumberFormat="1" applyFont="1" applyFill="1" applyBorder="1"/>
    <xf numFmtId="0" fontId="30" fillId="2" borderId="10" xfId="0" applyFont="1" applyFill="1" applyBorder="1"/>
    <xf numFmtId="166" fontId="29" fillId="2" borderId="11" xfId="0" applyNumberFormat="1" applyFont="1" applyFill="1" applyBorder="1"/>
    <xf numFmtId="166" fontId="29" fillId="2" borderId="4" xfId="0" applyNumberFormat="1" applyFont="1" applyFill="1" applyBorder="1"/>
    <xf numFmtId="0" fontId="29" fillId="2" borderId="5" xfId="0" applyFont="1" applyFill="1" applyBorder="1"/>
    <xf numFmtId="0" fontId="29" fillId="2" borderId="9" xfId="0" applyFont="1" applyFill="1" applyBorder="1"/>
    <xf numFmtId="17" fontId="3" fillId="2" borderId="0" xfId="0" applyNumberFormat="1" applyFont="1" applyFill="1" applyBorder="1" applyAlignment="1">
      <alignment horizontal="left" vertical="center" wrapText="1"/>
    </xf>
    <xf numFmtId="0" fontId="0" fillId="2" borderId="4" xfId="0" applyFill="1" applyBorder="1"/>
    <xf numFmtId="9" fontId="0" fillId="0" borderId="4" xfId="0" applyNumberFormat="1" applyBorder="1"/>
    <xf numFmtId="0" fontId="0" fillId="0" borderId="0" xfId="0" applyBorder="1"/>
    <xf numFmtId="9" fontId="0" fillId="0" borderId="0" xfId="0" applyNumberFormat="1" applyBorder="1"/>
    <xf numFmtId="12" fontId="0" fillId="0" borderId="0" xfId="0" applyNumberFormat="1" applyBorder="1"/>
    <xf numFmtId="0" fontId="0" fillId="0" borderId="10" xfId="0" applyBorder="1"/>
    <xf numFmtId="0" fontId="0" fillId="0" borderId="5" xfId="0" applyBorder="1"/>
    <xf numFmtId="0" fontId="15" fillId="0" borderId="0" xfId="0" applyFont="1"/>
    <xf numFmtId="0" fontId="15" fillId="0" borderId="0" xfId="0" applyNumberFormat="1" applyFont="1"/>
    <xf numFmtId="0" fontId="15" fillId="0" borderId="0" xfId="0" applyNumberFormat="1" applyFont="1" applyAlignment="1">
      <alignment horizontal="right"/>
    </xf>
    <xf numFmtId="3" fontId="0" fillId="0" borderId="0" xfId="0" applyNumberFormat="1" applyBorder="1"/>
    <xf numFmtId="178" fontId="0" fillId="0" borderId="5" xfId="0" applyNumberFormat="1" applyBorder="1"/>
    <xf numFmtId="180" fontId="0" fillId="0" borderId="0" xfId="0" applyNumberFormat="1" applyBorder="1"/>
    <xf numFmtId="0" fontId="0" fillId="2" borderId="9" xfId="0" applyFill="1" applyBorder="1"/>
    <xf numFmtId="0" fontId="0" fillId="2" borderId="1" xfId="0" applyFill="1" applyBorder="1"/>
    <xf numFmtId="0" fontId="15" fillId="0" borderId="0" xfId="0" applyFont="1" applyBorder="1"/>
    <xf numFmtId="17" fontId="2" fillId="2" borderId="0" xfId="0" applyNumberFormat="1" applyFont="1" applyFill="1" applyBorder="1" applyAlignment="1">
      <alignment horizontal="center"/>
    </xf>
    <xf numFmtId="3" fontId="0" fillId="0" borderId="4" xfId="0" applyNumberFormat="1" applyBorder="1"/>
    <xf numFmtId="3" fontId="0" fillId="2" borderId="4" xfId="0" applyNumberFormat="1" applyFill="1" applyBorder="1"/>
    <xf numFmtId="166" fontId="0" fillId="2" borderId="0" xfId="0" applyNumberFormat="1" applyFill="1" applyBorder="1"/>
    <xf numFmtId="3" fontId="0" fillId="0" borderId="5" xfId="0" applyNumberFormat="1" applyBorder="1"/>
    <xf numFmtId="180" fontId="0" fillId="0" borderId="5" xfId="0" applyNumberFormat="1" applyBorder="1"/>
    <xf numFmtId="166" fontId="0" fillId="2" borderId="5" xfId="0" applyNumberFormat="1" applyFill="1" applyBorder="1"/>
    <xf numFmtId="3" fontId="0" fillId="2" borderId="5" xfId="0" applyNumberFormat="1" applyFill="1" applyBorder="1"/>
    <xf numFmtId="0" fontId="15" fillId="0" borderId="0" xfId="0" applyNumberFormat="1" applyFont="1" applyBorder="1"/>
    <xf numFmtId="3" fontId="0" fillId="2" borderId="1" xfId="0" applyNumberFormat="1" applyFill="1" applyBorder="1"/>
    <xf numFmtId="166" fontId="0" fillId="2" borderId="10" xfId="0" applyNumberFormat="1" applyFill="1" applyBorder="1"/>
    <xf numFmtId="166" fontId="0" fillId="2" borderId="1" xfId="0" applyNumberFormat="1" applyFill="1" applyBorder="1"/>
    <xf numFmtId="3" fontId="0" fillId="2" borderId="9" xfId="0" applyNumberFormat="1" applyFill="1" applyBorder="1"/>
    <xf numFmtId="0" fontId="19" fillId="2" borderId="10" xfId="0" applyFont="1" applyFill="1" applyBorder="1"/>
    <xf numFmtId="168" fontId="16" fillId="2" borderId="9" xfId="0" applyNumberFormat="1" applyFont="1" applyFill="1" applyBorder="1"/>
    <xf numFmtId="168" fontId="16" fillId="2" borderId="11" xfId="0" applyNumberFormat="1" applyFont="1" applyFill="1" applyBorder="1"/>
    <xf numFmtId="168" fontId="16" fillId="2" borderId="1" xfId="0" applyNumberFormat="1" applyFont="1" applyFill="1" applyBorder="1"/>
    <xf numFmtId="168" fontId="16" fillId="2" borderId="2" xfId="0" applyNumberFormat="1" applyFont="1" applyFill="1" applyBorder="1"/>
    <xf numFmtId="172" fontId="16" fillId="2" borderId="5" xfId="0" applyNumberFormat="1" applyFont="1" applyFill="1" applyBorder="1"/>
    <xf numFmtId="172" fontId="16" fillId="2" borderId="12" xfId="0" applyNumberFormat="1" applyFont="1" applyFill="1" applyBorder="1"/>
    <xf numFmtId="172" fontId="16" fillId="2" borderId="10" xfId="0" applyNumberFormat="1" applyFont="1" applyFill="1" applyBorder="1"/>
    <xf numFmtId="0" fontId="22" fillId="2" borderId="11" xfId="0" applyFont="1" applyFill="1" applyBorder="1"/>
    <xf numFmtId="0" fontId="22" fillId="2" borderId="2" xfId="0" applyFont="1" applyFill="1" applyBorder="1"/>
    <xf numFmtId="39" fontId="22" fillId="2" borderId="1" xfId="0" applyNumberFormat="1" applyFont="1" applyFill="1" applyBorder="1"/>
    <xf numFmtId="39" fontId="22" fillId="2" borderId="0" xfId="0" applyNumberFormat="1" applyFont="1" applyFill="1" applyBorder="1"/>
    <xf numFmtId="39" fontId="22" fillId="2" borderId="2" xfId="0" applyNumberFormat="1" applyFont="1" applyFill="1" applyBorder="1"/>
    <xf numFmtId="168" fontId="16" fillId="2" borderId="10" xfId="1" applyNumberFormat="1" applyFont="1" applyFill="1" applyBorder="1"/>
    <xf numFmtId="168" fontId="16" fillId="2" borderId="12" xfId="1" applyNumberFormat="1" applyFont="1" applyFill="1" applyBorder="1"/>
    <xf numFmtId="166" fontId="16" fillId="2" borderId="9" xfId="0" applyNumberFormat="1" applyFont="1" applyFill="1" applyBorder="1"/>
    <xf numFmtId="166" fontId="16" fillId="2" borderId="11" xfId="0" applyNumberFormat="1" applyFont="1" applyFill="1" applyBorder="1"/>
    <xf numFmtId="166" fontId="16" fillId="2" borderId="1" xfId="0" applyNumberFormat="1" applyFont="1" applyFill="1" applyBorder="1"/>
    <xf numFmtId="166" fontId="16" fillId="2" borderId="2" xfId="0" applyNumberFormat="1" applyFont="1" applyFill="1" applyBorder="1"/>
    <xf numFmtId="171" fontId="16" fillId="2" borderId="1" xfId="0" applyNumberFormat="1" applyFont="1" applyFill="1" applyBorder="1"/>
    <xf numFmtId="171" fontId="16" fillId="2" borderId="0" xfId="0" applyNumberFormat="1" applyFont="1" applyFill="1" applyBorder="1"/>
    <xf numFmtId="166" fontId="16" fillId="2" borderId="10" xfId="0" applyNumberFormat="1" applyFont="1" applyFill="1" applyBorder="1"/>
    <xf numFmtId="166" fontId="16" fillId="2" borderId="12" xfId="0" applyNumberFormat="1" applyFont="1" applyFill="1" applyBorder="1"/>
    <xf numFmtId="0" fontId="25" fillId="2" borderId="19" xfId="4" applyFont="1" applyFill="1" applyBorder="1" applyAlignment="1">
      <alignment wrapText="1"/>
    </xf>
    <xf numFmtId="3" fontId="0" fillId="2" borderId="10" xfId="0" applyNumberFormat="1" applyFill="1" applyBorder="1"/>
    <xf numFmtId="166" fontId="0" fillId="2" borderId="4" xfId="0" applyNumberFormat="1" applyFill="1" applyBorder="1"/>
    <xf numFmtId="0" fontId="0" fillId="2" borderId="1" xfId="0" applyFont="1" applyFill="1" applyBorder="1"/>
    <xf numFmtId="0" fontId="0" fillId="2" borderId="9" xfId="0" applyFont="1" applyFill="1" applyBorder="1"/>
    <xf numFmtId="167" fontId="0" fillId="2" borderId="0" xfId="0" applyNumberFormat="1" applyFont="1" applyFill="1" applyBorder="1"/>
    <xf numFmtId="0" fontId="0" fillId="2" borderId="0" xfId="0" applyFont="1" applyFill="1" applyBorder="1"/>
    <xf numFmtId="0" fontId="29" fillId="2" borderId="12" xfId="0" applyFont="1" applyFill="1" applyBorder="1"/>
    <xf numFmtId="166" fontId="29" fillId="2" borderId="9" xfId="0" applyNumberFormat="1" applyFont="1" applyFill="1" applyBorder="1"/>
    <xf numFmtId="164" fontId="16" fillId="2" borderId="9" xfId="0" applyNumberFormat="1" applyFont="1" applyFill="1" applyBorder="1"/>
    <xf numFmtId="164" fontId="16" fillId="2" borderId="11" xfId="0" applyNumberFormat="1" applyFont="1" applyFill="1" applyBorder="1"/>
    <xf numFmtId="164" fontId="16" fillId="2" borderId="1" xfId="0" applyNumberFormat="1" applyFont="1" applyFill="1" applyBorder="1"/>
    <xf numFmtId="164" fontId="16" fillId="2" borderId="2" xfId="0" applyNumberFormat="1" applyFont="1" applyFill="1" applyBorder="1"/>
    <xf numFmtId="3" fontId="16" fillId="2" borderId="0" xfId="0" applyNumberFormat="1" applyFont="1" applyFill="1"/>
    <xf numFmtId="9" fontId="15" fillId="2" borderId="4" xfId="0" applyNumberFormat="1" applyFont="1" applyFill="1" applyBorder="1"/>
    <xf numFmtId="9" fontId="15" fillId="2" borderId="0" xfId="0" applyNumberFormat="1" applyFont="1" applyFill="1" applyBorder="1"/>
    <xf numFmtId="168" fontId="16" fillId="7" borderId="1" xfId="1" applyNumberFormat="1" applyFont="1" applyFill="1" applyBorder="1"/>
    <xf numFmtId="168" fontId="16" fillId="7" borderId="0" xfId="1" applyNumberFormat="1" applyFont="1" applyFill="1" applyBorder="1"/>
    <xf numFmtId="168" fontId="16" fillId="7" borderId="2" xfId="1" applyNumberFormat="1" applyFont="1" applyFill="1" applyBorder="1"/>
    <xf numFmtId="168" fontId="16" fillId="7" borderId="10" xfId="0" applyNumberFormat="1" applyFont="1" applyFill="1" applyBorder="1"/>
    <xf numFmtId="168" fontId="16" fillId="7" borderId="5" xfId="0" applyNumberFormat="1" applyFont="1" applyFill="1" applyBorder="1"/>
    <xf numFmtId="168" fontId="16" fillId="7" borderId="12" xfId="0" applyNumberFormat="1" applyFont="1" applyFill="1" applyBorder="1"/>
    <xf numFmtId="167" fontId="0" fillId="2" borderId="4" xfId="0" applyNumberFormat="1" applyFont="1" applyFill="1" applyBorder="1"/>
    <xf numFmtId="168" fontId="0" fillId="2" borderId="0" xfId="0" applyNumberFormat="1" applyFont="1" applyFill="1" applyBorder="1"/>
    <xf numFmtId="0" fontId="0" fillId="2" borderId="4" xfId="0" applyFont="1" applyFill="1" applyBorder="1"/>
    <xf numFmtId="167" fontId="0" fillId="2" borderId="5" xfId="0" applyNumberFormat="1" applyFont="1" applyFill="1" applyBorder="1"/>
    <xf numFmtId="37" fontId="16" fillId="2" borderId="1" xfId="0" applyNumberFormat="1" applyFont="1" applyFill="1" applyBorder="1"/>
    <xf numFmtId="37" fontId="16" fillId="2" borderId="2" xfId="0" applyNumberFormat="1" applyFont="1" applyFill="1" applyBorder="1"/>
    <xf numFmtId="37" fontId="16" fillId="2" borderId="10" xfId="0" applyNumberFormat="1" applyFont="1" applyFill="1" applyBorder="1"/>
    <xf numFmtId="37" fontId="16" fillId="2" borderId="12" xfId="0" applyNumberFormat="1" applyFont="1" applyFill="1" applyBorder="1"/>
    <xf numFmtId="3" fontId="16" fillId="2" borderId="0" xfId="0" applyNumberFormat="1" applyFont="1" applyFill="1" applyBorder="1"/>
    <xf numFmtId="3" fontId="6" fillId="4" borderId="41" xfId="0" applyNumberFormat="1" applyFont="1" applyFill="1" applyBorder="1" applyAlignment="1">
      <alignment horizontal="right"/>
    </xf>
    <xf numFmtId="182" fontId="6" fillId="4" borderId="38" xfId="0" applyNumberFormat="1" applyFont="1" applyFill="1" applyBorder="1" applyAlignment="1">
      <alignment horizontal="right"/>
    </xf>
    <xf numFmtId="3" fontId="6" fillId="4" borderId="38" xfId="0" applyNumberFormat="1" applyFont="1" applyFill="1" applyBorder="1" applyAlignment="1">
      <alignment horizontal="right"/>
    </xf>
    <xf numFmtId="9" fontId="6" fillId="4" borderId="38" xfId="0" applyNumberFormat="1" applyFont="1" applyFill="1" applyBorder="1" applyAlignment="1">
      <alignment horizontal="right"/>
    </xf>
    <xf numFmtId="3" fontId="6" fillId="4" borderId="32" xfId="0" applyNumberFormat="1" applyFont="1" applyFill="1" applyBorder="1" applyAlignment="1">
      <alignment horizontal="right" wrapText="1"/>
    </xf>
    <xf numFmtId="9" fontId="6" fillId="4" borderId="41" xfId="0" applyNumberFormat="1" applyFont="1" applyFill="1" applyBorder="1" applyAlignment="1">
      <alignment horizontal="right"/>
    </xf>
    <xf numFmtId="170" fontId="6" fillId="4" borderId="38" xfId="0" applyNumberFormat="1" applyFont="1" applyFill="1" applyBorder="1" applyAlignment="1">
      <alignment horizontal="right"/>
    </xf>
    <xf numFmtId="170" fontId="6" fillId="4" borderId="32" xfId="0" applyNumberFormat="1" applyFont="1" applyFill="1" applyBorder="1" applyAlignment="1">
      <alignment horizontal="right"/>
    </xf>
    <xf numFmtId="3" fontId="6" fillId="4" borderId="13" xfId="0" applyNumberFormat="1" applyFont="1" applyFill="1" applyBorder="1" applyAlignment="1">
      <alignment horizontal="center"/>
    </xf>
    <xf numFmtId="0" fontId="3" fillId="0" borderId="44" xfId="0" applyFont="1" applyBorder="1" applyAlignment="1">
      <alignment horizontal="center"/>
    </xf>
    <xf numFmtId="0" fontId="3" fillId="0" borderId="45" xfId="0" applyFont="1" applyBorder="1" applyAlignment="1">
      <alignment horizontal="center"/>
    </xf>
    <xf numFmtId="0" fontId="3" fillId="0" borderId="46" xfId="0" applyFont="1" applyBorder="1" applyAlignment="1">
      <alignment horizontal="center"/>
    </xf>
    <xf numFmtId="0" fontId="6" fillId="4" borderId="22" xfId="0" applyFont="1" applyFill="1" applyBorder="1" applyAlignment="1">
      <alignment horizontal="center"/>
    </xf>
    <xf numFmtId="0" fontId="6" fillId="4" borderId="41" xfId="0" applyFont="1" applyFill="1" applyBorder="1" applyAlignment="1">
      <alignment horizontal="center"/>
    </xf>
    <xf numFmtId="3" fontId="0" fillId="0" borderId="9" xfId="0" applyNumberFormat="1" applyBorder="1"/>
    <xf numFmtId="3" fontId="0" fillId="0" borderId="10" xfId="0" applyNumberFormat="1" applyBorder="1"/>
    <xf numFmtId="180" fontId="0" fillId="0" borderId="9" xfId="0" applyNumberFormat="1" applyBorder="1"/>
    <xf numFmtId="0" fontId="3" fillId="2" borderId="3" xfId="0" applyFont="1" applyFill="1" applyBorder="1" applyAlignment="1">
      <alignment horizontal="center"/>
    </xf>
    <xf numFmtId="3" fontId="3" fillId="2" borderId="49" xfId="0" applyNumberFormat="1" applyFont="1" applyFill="1" applyBorder="1"/>
    <xf numFmtId="3" fontId="3" fillId="2" borderId="3" xfId="0" applyNumberFormat="1" applyFont="1" applyFill="1" applyBorder="1"/>
    <xf numFmtId="3" fontId="3" fillId="2" borderId="36" xfId="0" applyNumberFormat="1" applyFont="1" applyFill="1" applyBorder="1"/>
    <xf numFmtId="166" fontId="3" fillId="2" borderId="36" xfId="0" applyNumberFormat="1" applyFont="1" applyFill="1" applyBorder="1"/>
    <xf numFmtId="166" fontId="3" fillId="2" borderId="3" xfId="0" applyNumberFormat="1" applyFont="1" applyFill="1" applyBorder="1"/>
    <xf numFmtId="166" fontId="3" fillId="2" borderId="49" xfId="0" applyNumberFormat="1" applyFont="1" applyFill="1" applyBorder="1"/>
    <xf numFmtId="183" fontId="17" fillId="3" borderId="19" xfId="1" applyNumberFormat="1" applyFont="1" applyFill="1" applyBorder="1" applyAlignment="1">
      <alignment horizontal="right"/>
    </xf>
    <xf numFmtId="166" fontId="17" fillId="3" borderId="19" xfId="1" applyNumberFormat="1" applyFont="1" applyFill="1" applyBorder="1" applyAlignment="1">
      <alignment horizontal="right"/>
    </xf>
    <xf numFmtId="0" fontId="16" fillId="4" borderId="9" xfId="0" applyFont="1" applyFill="1" applyBorder="1"/>
    <xf numFmtId="0" fontId="16" fillId="4" borderId="4" xfId="0" applyFont="1" applyFill="1" applyBorder="1"/>
    <xf numFmtId="0" fontId="18" fillId="4" borderId="1" xfId="0" applyFont="1" applyFill="1" applyBorder="1"/>
    <xf numFmtId="0" fontId="2" fillId="4" borderId="0" xfId="0" applyFont="1" applyFill="1" applyBorder="1" applyAlignment="1">
      <alignment horizontal="center"/>
    </xf>
    <xf numFmtId="17" fontId="2" fillId="8" borderId="0" xfId="0" applyNumberFormat="1" applyFont="1" applyFill="1" applyBorder="1" applyAlignment="1">
      <alignment horizontal="center"/>
    </xf>
    <xf numFmtId="17" fontId="2" fillId="8" borderId="1" xfId="0" applyNumberFormat="1" applyFont="1" applyFill="1" applyBorder="1" applyAlignment="1">
      <alignment horizontal="center"/>
    </xf>
    <xf numFmtId="170" fontId="17" fillId="8" borderId="19" xfId="1" applyNumberFormat="1" applyFont="1" applyFill="1" applyBorder="1" applyAlignment="1">
      <alignment horizontal="right"/>
    </xf>
    <xf numFmtId="37" fontId="17" fillId="8" borderId="19" xfId="1" applyNumberFormat="1" applyFont="1" applyFill="1" applyBorder="1" applyAlignment="1">
      <alignment horizontal="right"/>
    </xf>
    <xf numFmtId="0" fontId="0" fillId="9" borderId="0" xfId="0" applyFill="1"/>
    <xf numFmtId="0" fontId="1" fillId="9" borderId="0" xfId="0" applyFont="1" applyFill="1"/>
    <xf numFmtId="0" fontId="1" fillId="9" borderId="0" xfId="0" applyFont="1" applyFill="1" applyBorder="1"/>
    <xf numFmtId="17" fontId="18" fillId="4" borderId="1" xfId="0" applyNumberFormat="1" applyFont="1" applyFill="1" applyBorder="1" applyAlignment="1">
      <alignment horizontal="center"/>
    </xf>
    <xf numFmtId="17" fontId="18" fillId="4" borderId="0" xfId="0" applyNumberFormat="1" applyFont="1" applyFill="1" applyBorder="1" applyAlignment="1">
      <alignment horizontal="center"/>
    </xf>
    <xf numFmtId="17" fontId="18" fillId="4" borderId="2" xfId="0" applyNumberFormat="1" applyFont="1" applyFill="1" applyBorder="1" applyAlignment="1">
      <alignment horizontal="center"/>
    </xf>
    <xf numFmtId="170" fontId="17" fillId="3" borderId="19" xfId="3" applyNumberFormat="1" applyFont="1" applyFill="1" applyBorder="1" applyAlignment="1">
      <alignment horizontal="right"/>
    </xf>
    <xf numFmtId="170" fontId="11" fillId="3" borderId="21" xfId="1" applyNumberFormat="1" applyFont="1" applyFill="1" applyBorder="1" applyAlignment="1">
      <alignment horizontal="right"/>
    </xf>
    <xf numFmtId="0" fontId="0" fillId="2" borderId="49" xfId="0" applyFill="1" applyBorder="1"/>
    <xf numFmtId="0" fontId="6" fillId="4" borderId="51" xfId="0" applyFont="1" applyFill="1" applyBorder="1" applyAlignment="1">
      <alignment horizontal="center"/>
    </xf>
    <xf numFmtId="0" fontId="6" fillId="4" borderId="50" xfId="0" applyFont="1" applyFill="1" applyBorder="1" applyAlignment="1">
      <alignment horizontal="center"/>
    </xf>
    <xf numFmtId="0" fontId="6" fillId="4" borderId="35" xfId="0" applyFont="1" applyFill="1" applyBorder="1" applyAlignment="1">
      <alignment horizontal="center"/>
    </xf>
    <xf numFmtId="173" fontId="0" fillId="2" borderId="0" xfId="0" applyNumberFormat="1" applyFont="1" applyFill="1" applyBorder="1"/>
    <xf numFmtId="173" fontId="16" fillId="2" borderId="0" xfId="0" applyNumberFormat="1" applyFont="1" applyFill="1" applyBorder="1"/>
    <xf numFmtId="173" fontId="16" fillId="2" borderId="2" xfId="0" applyNumberFormat="1" applyFont="1" applyFill="1" applyBorder="1"/>
    <xf numFmtId="184" fontId="29" fillId="2" borderId="4" xfId="0" applyNumberFormat="1" applyFont="1" applyFill="1" applyBorder="1"/>
    <xf numFmtId="184" fontId="29" fillId="2" borderId="11" xfId="0" applyNumberFormat="1" applyFont="1" applyFill="1" applyBorder="1"/>
    <xf numFmtId="164" fontId="0" fillId="2" borderId="4" xfId="0" applyNumberFormat="1" applyFont="1" applyFill="1" applyBorder="1"/>
    <xf numFmtId="171" fontId="0" fillId="2" borderId="5" xfId="0" applyNumberFormat="1" applyFont="1" applyFill="1" applyBorder="1" applyAlignment="1">
      <alignment horizontal="left" indent="2"/>
    </xf>
    <xf numFmtId="171" fontId="0" fillId="2" borderId="0" xfId="0" applyNumberFormat="1" applyFont="1" applyFill="1" applyBorder="1" applyAlignment="1">
      <alignment horizontal="left" indent="2"/>
    </xf>
    <xf numFmtId="171" fontId="16" fillId="2" borderId="10" xfId="0" applyNumberFormat="1" applyFont="1" applyFill="1" applyBorder="1"/>
    <xf numFmtId="171" fontId="16" fillId="2" borderId="5" xfId="0" applyNumberFormat="1" applyFont="1" applyFill="1" applyBorder="1"/>
    <xf numFmtId="171" fontId="16" fillId="2" borderId="12" xfId="0" applyNumberFormat="1" applyFont="1" applyFill="1" applyBorder="1"/>
    <xf numFmtId="173" fontId="16" fillId="2" borderId="5" xfId="0" applyNumberFormat="1" applyFont="1" applyFill="1" applyBorder="1"/>
    <xf numFmtId="173" fontId="16" fillId="2" borderId="10" xfId="0" applyNumberFormat="1" applyFont="1" applyFill="1" applyBorder="1"/>
    <xf numFmtId="173" fontId="16" fillId="2" borderId="12" xfId="0" applyNumberFormat="1" applyFont="1" applyFill="1" applyBorder="1"/>
    <xf numFmtId="178" fontId="0" fillId="0" borderId="0" xfId="0" applyNumberFormat="1" applyBorder="1"/>
    <xf numFmtId="9" fontId="0" fillId="0" borderId="11" xfId="0" applyNumberFormat="1" applyBorder="1"/>
    <xf numFmtId="9" fontId="0" fillId="0" borderId="2" xfId="0" applyNumberFormat="1" applyBorder="1"/>
    <xf numFmtId="12" fontId="0" fillId="0" borderId="2" xfId="0" applyNumberFormat="1" applyBorder="1"/>
    <xf numFmtId="166" fontId="29" fillId="2" borderId="2" xfId="0" applyNumberFormat="1" applyFont="1" applyFill="1" applyBorder="1"/>
    <xf numFmtId="178" fontId="0" fillId="0" borderId="12" xfId="0" applyNumberFormat="1" applyBorder="1"/>
    <xf numFmtId="0" fontId="3" fillId="2" borderId="0" xfId="0" applyFont="1" applyFill="1" applyBorder="1"/>
    <xf numFmtId="0" fontId="28" fillId="2" borderId="1" xfId="0" applyFont="1" applyFill="1" applyBorder="1"/>
    <xf numFmtId="172" fontId="28" fillId="2" borderId="0" xfId="0" applyNumberFormat="1" applyFont="1" applyFill="1"/>
    <xf numFmtId="0" fontId="28" fillId="2" borderId="0" xfId="0" applyFont="1" applyFill="1" applyBorder="1"/>
    <xf numFmtId="37" fontId="28" fillId="2" borderId="0" xfId="0" applyNumberFormat="1" applyFont="1" applyFill="1" applyBorder="1"/>
    <xf numFmtId="164" fontId="28" fillId="2" borderId="0" xfId="0" applyNumberFormat="1" applyFont="1" applyFill="1" applyBorder="1"/>
    <xf numFmtId="173" fontId="16" fillId="2" borderId="1" xfId="0" applyNumberFormat="1" applyFont="1" applyFill="1" applyBorder="1"/>
    <xf numFmtId="171" fontId="16" fillId="2" borderId="2" xfId="0" applyNumberFormat="1" applyFont="1" applyFill="1" applyBorder="1"/>
    <xf numFmtId="172" fontId="16" fillId="7" borderId="0" xfId="0" applyNumberFormat="1" applyFont="1" applyFill="1" applyBorder="1" applyAlignment="1">
      <alignment horizontal="left" indent="2"/>
    </xf>
    <xf numFmtId="166" fontId="29" fillId="7" borderId="4" xfId="0" applyNumberFormat="1" applyFont="1" applyFill="1" applyBorder="1"/>
    <xf numFmtId="0" fontId="29" fillId="7" borderId="5" xfId="0" applyFont="1" applyFill="1" applyBorder="1"/>
    <xf numFmtId="37" fontId="16" fillId="2" borderId="4" xfId="0" applyNumberFormat="1" applyFont="1" applyFill="1" applyBorder="1"/>
    <xf numFmtId="0" fontId="0" fillId="2" borderId="10" xfId="0" applyFont="1" applyFill="1" applyBorder="1"/>
    <xf numFmtId="166" fontId="3" fillId="2" borderId="0" xfId="0" applyNumberFormat="1" applyFont="1" applyFill="1" applyBorder="1"/>
    <xf numFmtId="166" fontId="3" fillId="2" borderId="48" xfId="0" applyNumberFormat="1" applyFont="1" applyFill="1" applyBorder="1"/>
    <xf numFmtId="166" fontId="0" fillId="2" borderId="8" xfId="0" applyNumberFormat="1" applyFill="1" applyBorder="1"/>
    <xf numFmtId="177" fontId="1" fillId="0" borderId="0" xfId="0" applyNumberFormat="1" applyFont="1" applyBorder="1" applyAlignment="1">
      <alignment horizontal="center"/>
    </xf>
    <xf numFmtId="37" fontId="16" fillId="2" borderId="9" xfId="0" applyNumberFormat="1" applyFont="1" applyFill="1" applyBorder="1"/>
    <xf numFmtId="37" fontId="16" fillId="2" borderId="11" xfId="0" applyNumberFormat="1" applyFont="1" applyFill="1" applyBorder="1"/>
    <xf numFmtId="172" fontId="16" fillId="2" borderId="12" xfId="0" applyNumberFormat="1" applyFont="1" applyFill="1" applyBorder="1" applyAlignment="1">
      <alignment horizontal="left" indent="2"/>
    </xf>
    <xf numFmtId="167" fontId="29" fillId="2" borderId="4" xfId="0" applyNumberFormat="1" applyFont="1" applyFill="1" applyBorder="1"/>
    <xf numFmtId="167" fontId="29" fillId="2" borderId="0" xfId="0" applyNumberFormat="1" applyFont="1" applyFill="1" applyBorder="1"/>
    <xf numFmtId="167" fontId="29" fillId="2" borderId="5" xfId="0" applyNumberFormat="1" applyFont="1" applyFill="1" applyBorder="1"/>
    <xf numFmtId="179" fontId="0" fillId="0" borderId="0" xfId="0" applyNumberFormat="1"/>
    <xf numFmtId="17" fontId="2" fillId="2" borderId="10" xfId="0" applyNumberFormat="1" applyFont="1" applyFill="1" applyBorder="1" applyAlignment="1">
      <alignment horizontal="center"/>
    </xf>
    <xf numFmtId="17" fontId="2" fillId="2" borderId="1" xfId="0" applyNumberFormat="1" applyFont="1" applyFill="1" applyBorder="1" applyAlignment="1">
      <alignment horizontal="center"/>
    </xf>
    <xf numFmtId="9" fontId="16" fillId="2" borderId="0" xfId="0" applyNumberFormat="1" applyFont="1" applyFill="1" applyBorder="1"/>
    <xf numFmtId="171" fontId="6" fillId="8" borderId="19" xfId="1" applyNumberFormat="1" applyFont="1" applyFill="1" applyBorder="1" applyAlignment="1">
      <alignment horizontal="right"/>
    </xf>
    <xf numFmtId="0" fontId="32" fillId="2" borderId="0" xfId="0" applyFont="1" applyFill="1"/>
    <xf numFmtId="0" fontId="32" fillId="2" borderId="0" xfId="0" applyFont="1" applyFill="1" applyBorder="1"/>
    <xf numFmtId="165" fontId="32" fillId="2" borderId="0" xfId="0" applyNumberFormat="1" applyFont="1" applyFill="1" applyBorder="1"/>
    <xf numFmtId="0" fontId="33" fillId="0" borderId="0" xfId="0" applyFont="1" applyBorder="1"/>
    <xf numFmtId="0" fontId="34" fillId="2" borderId="20" xfId="0" applyFont="1" applyFill="1" applyBorder="1"/>
    <xf numFmtId="3" fontId="35" fillId="4" borderId="21" xfId="0" applyNumberFormat="1" applyFont="1" applyFill="1" applyBorder="1" applyAlignment="1"/>
    <xf numFmtId="0" fontId="34" fillId="2" borderId="1" xfId="0" applyFont="1" applyFill="1" applyBorder="1"/>
    <xf numFmtId="164" fontId="35" fillId="4" borderId="21" xfId="1" applyNumberFormat="1" applyFont="1" applyFill="1" applyBorder="1" applyAlignment="1"/>
    <xf numFmtId="175" fontId="35" fillId="4" borderId="21" xfId="1" applyNumberFormat="1" applyFont="1" applyFill="1" applyBorder="1" applyAlignment="1"/>
    <xf numFmtId="0" fontId="34" fillId="2" borderId="19" xfId="0" applyFont="1" applyFill="1" applyBorder="1"/>
    <xf numFmtId="3" fontId="32" fillId="2" borderId="0" xfId="0" applyNumberFormat="1" applyFont="1" applyFill="1"/>
    <xf numFmtId="9" fontId="35" fillId="4" borderId="21" xfId="1" applyNumberFormat="1" applyFont="1" applyFill="1" applyBorder="1" applyAlignment="1"/>
    <xf numFmtId="0" fontId="33" fillId="0" borderId="0" xfId="0" applyFont="1"/>
    <xf numFmtId="17" fontId="36" fillId="5" borderId="0" xfId="0" applyNumberFormat="1" applyFont="1" applyFill="1" applyBorder="1" applyAlignment="1">
      <alignment horizontal="center"/>
    </xf>
    <xf numFmtId="0" fontId="32" fillId="5" borderId="1" xfId="0" applyFont="1" applyFill="1" applyBorder="1" applyAlignment="1"/>
    <xf numFmtId="0" fontId="32" fillId="5" borderId="2" xfId="0" applyFont="1" applyFill="1" applyBorder="1" applyAlignment="1"/>
    <xf numFmtId="17" fontId="37" fillId="5" borderId="0" xfId="0" applyNumberFormat="1" applyFont="1" applyFill="1" applyBorder="1" applyAlignment="1">
      <alignment horizontal="center"/>
    </xf>
    <xf numFmtId="17" fontId="37" fillId="5" borderId="15" xfId="0" applyNumberFormat="1" applyFont="1" applyFill="1" applyBorder="1" applyAlignment="1">
      <alignment horizontal="center"/>
    </xf>
    <xf numFmtId="0" fontId="38" fillId="2" borderId="5" xfId="0" applyNumberFormat="1" applyFont="1" applyFill="1" applyBorder="1" applyAlignment="1">
      <alignment horizontal="center"/>
    </xf>
    <xf numFmtId="0" fontId="38" fillId="2" borderId="15" xfId="0" applyNumberFormat="1" applyFont="1" applyFill="1" applyBorder="1" applyAlignment="1">
      <alignment horizontal="center"/>
    </xf>
    <xf numFmtId="0" fontId="39" fillId="2" borderId="0" xfId="0" applyFont="1" applyFill="1" applyBorder="1"/>
    <xf numFmtId="0" fontId="38" fillId="2" borderId="0" xfId="0" applyNumberFormat="1" applyFont="1" applyFill="1" applyBorder="1" applyAlignment="1">
      <alignment horizontal="center"/>
    </xf>
    <xf numFmtId="0" fontId="36" fillId="2" borderId="0" xfId="0" applyNumberFormat="1" applyFont="1" applyFill="1" applyBorder="1" applyAlignment="1">
      <alignment horizontal="center"/>
    </xf>
    <xf numFmtId="181" fontId="32" fillId="2" borderId="0" xfId="0" applyNumberFormat="1" applyFont="1" applyFill="1"/>
    <xf numFmtId="0" fontId="40" fillId="2" borderId="0" xfId="0" applyFont="1" applyFill="1" applyBorder="1" applyAlignment="1"/>
    <xf numFmtId="166" fontId="32" fillId="2" borderId="4" xfId="0" applyNumberFormat="1" applyFont="1" applyFill="1" applyBorder="1"/>
    <xf numFmtId="166" fontId="32" fillId="2" borderId="14" xfId="0" applyNumberFormat="1" applyFont="1" applyFill="1" applyBorder="1"/>
    <xf numFmtId="166" fontId="32" fillId="2" borderId="0" xfId="0" applyNumberFormat="1" applyFont="1" applyFill="1" applyBorder="1"/>
    <xf numFmtId="3" fontId="32" fillId="2" borderId="0" xfId="0" applyNumberFormat="1" applyFont="1" applyFill="1" applyBorder="1"/>
    <xf numFmtId="3" fontId="32" fillId="2" borderId="25" xfId="0" applyNumberFormat="1" applyFont="1" applyFill="1" applyBorder="1"/>
    <xf numFmtId="3" fontId="41" fillId="2" borderId="25" xfId="0" applyNumberFormat="1" applyFont="1" applyFill="1" applyBorder="1"/>
    <xf numFmtId="3" fontId="32" fillId="2" borderId="1" xfId="0" applyNumberFormat="1" applyFont="1" applyFill="1" applyBorder="1"/>
    <xf numFmtId="3" fontId="32" fillId="2" borderId="2" xfId="0" applyNumberFormat="1" applyFont="1" applyFill="1" applyBorder="1"/>
    <xf numFmtId="9" fontId="42" fillId="2" borderId="0" xfId="3" applyFont="1" applyFill="1" applyBorder="1"/>
    <xf numFmtId="9" fontId="38" fillId="2" borderId="25" xfId="3" applyFont="1" applyFill="1" applyBorder="1"/>
    <xf numFmtId="166" fontId="32" fillId="2" borderId="0" xfId="0" applyNumberFormat="1" applyFont="1" applyFill="1"/>
    <xf numFmtId="179" fontId="32" fillId="6" borderId="5" xfId="0" applyNumberFormat="1" applyFont="1" applyFill="1" applyBorder="1"/>
    <xf numFmtId="181" fontId="32" fillId="6" borderId="5" xfId="0" applyNumberFormat="1" applyFont="1" applyFill="1" applyBorder="1"/>
    <xf numFmtId="181" fontId="41" fillId="6" borderId="15" xfId="0" applyNumberFormat="1" applyFont="1" applyFill="1" applyBorder="1"/>
    <xf numFmtId="3" fontId="32" fillId="2" borderId="4" xfId="0" applyNumberFormat="1" applyFont="1" applyFill="1" applyBorder="1"/>
    <xf numFmtId="3" fontId="41" fillId="2" borderId="14" xfId="0" applyNumberFormat="1" applyFont="1" applyFill="1" applyBorder="1"/>
    <xf numFmtId="3" fontId="32" fillId="2" borderId="9" xfId="0" applyNumberFormat="1" applyFont="1" applyFill="1" applyBorder="1"/>
    <xf numFmtId="0" fontId="32" fillId="2" borderId="0" xfId="0" applyNumberFormat="1" applyFont="1" applyFill="1"/>
    <xf numFmtId="176" fontId="32" fillId="2" borderId="0" xfId="0" applyNumberFormat="1" applyFont="1" applyFill="1" applyBorder="1"/>
    <xf numFmtId="166" fontId="41" fillId="2" borderId="25" xfId="0" applyNumberFormat="1" applyFont="1" applyFill="1" applyBorder="1"/>
    <xf numFmtId="176" fontId="32" fillId="2" borderId="1" xfId="0" applyNumberFormat="1" applyFont="1" applyFill="1" applyBorder="1"/>
    <xf numFmtId="37" fontId="32" fillId="2" borderId="0" xfId="0" applyNumberFormat="1" applyFont="1" applyFill="1" applyBorder="1"/>
    <xf numFmtId="166" fontId="42" fillId="2" borderId="0" xfId="0" applyNumberFormat="1" applyFont="1" applyFill="1" applyBorder="1"/>
    <xf numFmtId="9" fontId="42" fillId="2" borderId="1" xfId="3" applyFont="1" applyFill="1" applyBorder="1"/>
    <xf numFmtId="166" fontId="42" fillId="2" borderId="1" xfId="0" applyNumberFormat="1" applyFont="1" applyFill="1" applyBorder="1"/>
    <xf numFmtId="176" fontId="41" fillId="2" borderId="25" xfId="0" applyNumberFormat="1" applyFont="1" applyFill="1" applyBorder="1"/>
    <xf numFmtId="166" fontId="32" fillId="2" borderId="1" xfId="0" applyNumberFormat="1" applyFont="1" applyFill="1" applyBorder="1"/>
    <xf numFmtId="37" fontId="32" fillId="2" borderId="5" xfId="0" applyNumberFormat="1" applyFont="1" applyFill="1" applyBorder="1"/>
    <xf numFmtId="3" fontId="41" fillId="2" borderId="15" xfId="0" applyNumberFormat="1" applyFont="1" applyFill="1" applyBorder="1"/>
    <xf numFmtId="170" fontId="32" fillId="2" borderId="5" xfId="0" applyNumberFormat="1" applyFont="1" applyFill="1" applyBorder="1"/>
    <xf numFmtId="170" fontId="41" fillId="2" borderId="15" xfId="0" applyNumberFormat="1" applyFont="1" applyFill="1" applyBorder="1"/>
    <xf numFmtId="170" fontId="32" fillId="2" borderId="10" xfId="0" applyNumberFormat="1" applyFont="1" applyFill="1" applyBorder="1"/>
    <xf numFmtId="185" fontId="32" fillId="2" borderId="0" xfId="0" applyNumberFormat="1" applyFont="1" applyFill="1" applyBorder="1"/>
    <xf numFmtId="166" fontId="32" fillId="2" borderId="5" xfId="0" applyNumberFormat="1" applyFont="1" applyFill="1" applyBorder="1"/>
    <xf numFmtId="0" fontId="32" fillId="2" borderId="9" xfId="0" applyFont="1" applyFill="1" applyBorder="1"/>
    <xf numFmtId="0" fontId="32" fillId="2" borderId="4" xfId="0" applyFont="1" applyFill="1" applyBorder="1"/>
    <xf numFmtId="0" fontId="32" fillId="2" borderId="1" xfId="0" applyFont="1" applyFill="1" applyBorder="1"/>
    <xf numFmtId="0" fontId="41" fillId="2" borderId="25" xfId="0" applyFont="1" applyFill="1" applyBorder="1"/>
    <xf numFmtId="9" fontId="42" fillId="2" borderId="2" xfId="3" applyFont="1" applyFill="1" applyBorder="1"/>
    <xf numFmtId="9" fontId="38" fillId="2" borderId="2" xfId="3" applyFont="1" applyFill="1" applyBorder="1"/>
    <xf numFmtId="0" fontId="32" fillId="2" borderId="10" xfId="0" applyFont="1" applyFill="1" applyBorder="1"/>
    <xf numFmtId="0" fontId="32" fillId="2" borderId="5" xfId="0" applyFont="1" applyFill="1" applyBorder="1"/>
    <xf numFmtId="0" fontId="32" fillId="2" borderId="12" xfId="0" applyFont="1" applyFill="1" applyBorder="1"/>
    <xf numFmtId="0" fontId="41" fillId="2" borderId="15" xfId="0" applyFont="1" applyFill="1" applyBorder="1"/>
    <xf numFmtId="0" fontId="32" fillId="2" borderId="0" xfId="0" applyFont="1" applyFill="1" applyAlignment="1"/>
    <xf numFmtId="9" fontId="32" fillId="2" borderId="0" xfId="0" applyNumberFormat="1" applyFont="1" applyFill="1" applyBorder="1"/>
    <xf numFmtId="0" fontId="41" fillId="2" borderId="0" xfId="0" applyFont="1" applyFill="1" applyBorder="1"/>
    <xf numFmtId="0" fontId="41" fillId="2" borderId="0" xfId="0" applyFont="1" applyFill="1"/>
    <xf numFmtId="174" fontId="32" fillId="2" borderId="0" xfId="0" applyNumberFormat="1" applyFont="1" applyFill="1"/>
    <xf numFmtId="0" fontId="43" fillId="2" borderId="0" xfId="0" applyFont="1" applyFill="1"/>
    <xf numFmtId="0" fontId="44" fillId="2" borderId="0" xfId="0" applyFont="1" applyFill="1"/>
    <xf numFmtId="0" fontId="5" fillId="2" borderId="0" xfId="0" applyFont="1" applyFill="1" applyAlignment="1">
      <alignment horizontal="right" wrapText="1"/>
    </xf>
    <xf numFmtId="17" fontId="37" fillId="5" borderId="25" xfId="0" applyNumberFormat="1" applyFont="1" applyFill="1" applyBorder="1" applyAlignment="1">
      <alignment horizontal="center"/>
    </xf>
    <xf numFmtId="2" fontId="38" fillId="2" borderId="5" xfId="0" applyNumberFormat="1" applyFont="1" applyFill="1" applyBorder="1" applyAlignment="1">
      <alignment horizontal="center"/>
    </xf>
    <xf numFmtId="2" fontId="38" fillId="2" borderId="15" xfId="0" applyNumberFormat="1" applyFont="1" applyFill="1" applyBorder="1" applyAlignment="1">
      <alignment horizontal="center"/>
    </xf>
    <xf numFmtId="0" fontId="34" fillId="2" borderId="0" xfId="0" applyFont="1" applyFill="1" applyBorder="1"/>
    <xf numFmtId="164" fontId="35" fillId="2" borderId="0" xfId="1" applyNumberFormat="1" applyFont="1" applyFill="1" applyBorder="1" applyAlignment="1"/>
    <xf numFmtId="180" fontId="0" fillId="0" borderId="4" xfId="0" applyNumberFormat="1" applyBorder="1"/>
    <xf numFmtId="0" fontId="0" fillId="0" borderId="0" xfId="0" applyAlignment="1">
      <alignment horizontal="center"/>
    </xf>
    <xf numFmtId="183" fontId="16" fillId="2" borderId="4" xfId="1" applyNumberFormat="1" applyFont="1" applyFill="1" applyBorder="1" applyAlignment="1">
      <alignment horizontal="right"/>
    </xf>
    <xf numFmtId="183" fontId="16" fillId="2" borderId="9" xfId="1" applyNumberFormat="1" applyFont="1" applyFill="1" applyBorder="1" applyAlignment="1">
      <alignment horizontal="right"/>
    </xf>
    <xf numFmtId="183" fontId="16" fillId="2" borderId="11" xfId="1" applyNumberFormat="1" applyFont="1" applyFill="1" applyBorder="1" applyAlignment="1">
      <alignment horizontal="right"/>
    </xf>
    <xf numFmtId="168" fontId="16" fillId="2" borderId="0" xfId="1" applyNumberFormat="1" applyFont="1" applyFill="1" applyBorder="1" applyAlignment="1">
      <alignment horizontal="right"/>
    </xf>
    <xf numFmtId="183" fontId="16" fillId="2" borderId="0" xfId="1" applyNumberFormat="1" applyFont="1" applyFill="1" applyBorder="1" applyAlignment="1">
      <alignment horizontal="right"/>
    </xf>
    <xf numFmtId="183" fontId="16" fillId="2" borderId="1" xfId="1" applyNumberFormat="1" applyFont="1" applyFill="1" applyBorder="1" applyAlignment="1">
      <alignment horizontal="right"/>
    </xf>
    <xf numFmtId="183" fontId="16" fillId="2" borderId="2" xfId="1" applyNumberFormat="1" applyFont="1" applyFill="1" applyBorder="1" applyAlignment="1">
      <alignment horizontal="right"/>
    </xf>
    <xf numFmtId="168" fontId="16" fillId="2" borderId="1" xfId="1" applyNumberFormat="1" applyFont="1" applyFill="1" applyBorder="1" applyAlignment="1">
      <alignment horizontal="right"/>
    </xf>
    <xf numFmtId="168" fontId="16" fillId="2" borderId="2" xfId="1" applyNumberFormat="1" applyFont="1" applyFill="1" applyBorder="1" applyAlignment="1">
      <alignment horizontal="right"/>
    </xf>
    <xf numFmtId="37" fontId="16" fillId="2" borderId="0" xfId="0" applyNumberFormat="1" applyFont="1" applyFill="1" applyBorder="1" applyAlignment="1">
      <alignment horizontal="right"/>
    </xf>
    <xf numFmtId="37" fontId="16" fillId="2" borderId="1" xfId="0" applyNumberFormat="1" applyFont="1" applyFill="1" applyBorder="1" applyAlignment="1">
      <alignment horizontal="right"/>
    </xf>
    <xf numFmtId="37" fontId="16" fillId="2" borderId="2" xfId="0" applyNumberFormat="1" applyFont="1" applyFill="1" applyBorder="1" applyAlignment="1">
      <alignment horizontal="right"/>
    </xf>
    <xf numFmtId="183" fontId="16" fillId="2" borderId="0" xfId="1" applyNumberFormat="1" applyFont="1" applyFill="1" applyBorder="1" applyAlignment="1">
      <alignment horizontal="right" vertical="center"/>
    </xf>
    <xf numFmtId="181" fontId="3" fillId="6" borderId="15" xfId="0" applyNumberFormat="1" applyFont="1" applyFill="1" applyBorder="1"/>
    <xf numFmtId="170" fontId="41" fillId="2" borderId="0" xfId="0" applyNumberFormat="1" applyFont="1" applyFill="1" applyBorder="1"/>
    <xf numFmtId="186" fontId="32" fillId="2" borderId="0" xfId="0" applyNumberFormat="1" applyFont="1" applyFill="1"/>
    <xf numFmtId="176" fontId="16" fillId="2" borderId="4" xfId="0" applyNumberFormat="1" applyFont="1" applyFill="1" applyBorder="1"/>
    <xf numFmtId="176" fontId="16" fillId="2" borderId="0" xfId="0" applyNumberFormat="1" applyFont="1" applyFill="1" applyBorder="1"/>
    <xf numFmtId="176" fontId="16" fillId="2" borderId="5" xfId="0" applyNumberFormat="1" applyFont="1" applyFill="1" applyBorder="1"/>
    <xf numFmtId="176" fontId="16" fillId="2" borderId="10" xfId="0" applyNumberFormat="1" applyFont="1" applyFill="1" applyBorder="1"/>
    <xf numFmtId="176" fontId="16" fillId="2" borderId="12" xfId="0" applyNumberFormat="1" applyFont="1" applyFill="1" applyBorder="1"/>
    <xf numFmtId="170" fontId="17" fillId="2" borderId="0" xfId="1" applyNumberFormat="1" applyFont="1" applyFill="1" applyBorder="1" applyAlignment="1">
      <alignment horizontal="right"/>
    </xf>
    <xf numFmtId="173" fontId="17" fillId="2" borderId="0" xfId="1" applyNumberFormat="1" applyFont="1" applyFill="1" applyBorder="1" applyAlignment="1">
      <alignment horizontal="right"/>
    </xf>
    <xf numFmtId="170" fontId="17" fillId="2" borderId="0" xfId="3" applyNumberFormat="1" applyFont="1" applyFill="1" applyBorder="1" applyAlignment="1">
      <alignment horizontal="right"/>
    </xf>
    <xf numFmtId="0" fontId="32" fillId="0" borderId="2" xfId="0" applyFont="1" applyBorder="1" applyAlignment="1"/>
    <xf numFmtId="0" fontId="30" fillId="2" borderId="55" xfId="0" applyNumberFormat="1" applyFont="1" applyFill="1" applyBorder="1"/>
    <xf numFmtId="37" fontId="3" fillId="2" borderId="55" xfId="0" applyNumberFormat="1" applyFont="1" applyFill="1" applyBorder="1"/>
    <xf numFmtId="166" fontId="3" fillId="2" borderId="56" xfId="0" applyNumberFormat="1" applyFont="1" applyFill="1" applyBorder="1"/>
    <xf numFmtId="3" fontId="3" fillId="2" borderId="55" xfId="0" applyNumberFormat="1" applyFont="1" applyFill="1" applyBorder="1"/>
    <xf numFmtId="37" fontId="3" fillId="2" borderId="56" xfId="0" applyNumberFormat="1" applyFont="1" applyFill="1" applyBorder="1"/>
    <xf numFmtId="37" fontId="3" fillId="2" borderId="57" xfId="0" applyNumberFormat="1" applyFont="1" applyFill="1" applyBorder="1"/>
    <xf numFmtId="0" fontId="31" fillId="2" borderId="20" xfId="0" applyFont="1" applyFill="1" applyBorder="1"/>
    <xf numFmtId="170" fontId="6" fillId="4" borderId="41" xfId="3" applyNumberFormat="1" applyFont="1" applyFill="1" applyBorder="1" applyAlignment="1">
      <alignment horizontal="right"/>
    </xf>
    <xf numFmtId="170" fontId="6" fillId="4" borderId="38" xfId="3" applyNumberFormat="1" applyFont="1" applyFill="1" applyBorder="1" applyAlignment="1">
      <alignment horizontal="right"/>
    </xf>
    <xf numFmtId="170" fontId="6" fillId="4" borderId="32" xfId="3" applyNumberFormat="1" applyFont="1" applyFill="1" applyBorder="1" applyAlignment="1">
      <alignment horizontal="right"/>
    </xf>
    <xf numFmtId="170" fontId="11" fillId="3" borderId="11" xfId="1" applyNumberFormat="1" applyFont="1" applyFill="1" applyBorder="1" applyAlignment="1">
      <alignment horizontal="right"/>
    </xf>
    <xf numFmtId="0" fontId="3" fillId="2" borderId="0" xfId="0" applyFont="1" applyFill="1"/>
    <xf numFmtId="0" fontId="3" fillId="2" borderId="53" xfId="0" applyFont="1" applyFill="1" applyBorder="1" applyAlignment="1"/>
    <xf numFmtId="0" fontId="3" fillId="2" borderId="54" xfId="0" applyFont="1" applyFill="1" applyBorder="1" applyAlignment="1"/>
    <xf numFmtId="176" fontId="3" fillId="2" borderId="55" xfId="0" applyNumberFormat="1" applyFont="1" applyFill="1" applyBorder="1"/>
    <xf numFmtId="176" fontId="3" fillId="2" borderId="56" xfId="0" applyNumberFormat="1" applyFont="1" applyFill="1" applyBorder="1"/>
    <xf numFmtId="166" fontId="3" fillId="2" borderId="55" xfId="0" applyNumberFormat="1" applyFont="1" applyFill="1" applyBorder="1"/>
    <xf numFmtId="166" fontId="3" fillId="2" borderId="57" xfId="0" applyNumberFormat="1" applyFont="1" applyFill="1" applyBorder="1"/>
    <xf numFmtId="0" fontId="0" fillId="2" borderId="1" xfId="0" applyFont="1" applyFill="1" applyBorder="1" applyAlignment="1"/>
    <xf numFmtId="0" fontId="32" fillId="6" borderId="0" xfId="0" applyFont="1" applyFill="1" applyBorder="1" applyAlignment="1"/>
    <xf numFmtId="179" fontId="32" fillId="6" borderId="0" xfId="0" applyNumberFormat="1" applyFont="1" applyFill="1" applyBorder="1"/>
    <xf numFmtId="181" fontId="32" fillId="6" borderId="0" xfId="0" applyNumberFormat="1" applyFont="1" applyFill="1" applyBorder="1"/>
    <xf numFmtId="181" fontId="3" fillId="6" borderId="0" xfId="0" applyNumberFormat="1" applyFont="1" applyFill="1" applyBorder="1"/>
    <xf numFmtId="183" fontId="32" fillId="6" borderId="0" xfId="1" applyNumberFormat="1" applyFont="1" applyFill="1" applyBorder="1"/>
    <xf numFmtId="182" fontId="32" fillId="2" borderId="0" xfId="0" applyNumberFormat="1" applyFont="1" applyFill="1" applyBorder="1"/>
    <xf numFmtId="182" fontId="41" fillId="2" borderId="25" xfId="0" applyNumberFormat="1" applyFont="1" applyFill="1" applyBorder="1"/>
    <xf numFmtId="182" fontId="32" fillId="2" borderId="4" xfId="0" applyNumberFormat="1" applyFont="1" applyFill="1" applyBorder="1"/>
    <xf numFmtId="182" fontId="41" fillId="2" borderId="14" xfId="0" applyNumberFormat="1" applyFont="1" applyFill="1" applyBorder="1"/>
    <xf numFmtId="0" fontId="1" fillId="2" borderId="0" xfId="0" applyFont="1" applyFill="1" applyBorder="1" applyAlignment="1">
      <alignment horizontal="center"/>
    </xf>
    <xf numFmtId="0" fontId="31" fillId="2" borderId="1" xfId="0" applyFont="1" applyFill="1" applyBorder="1"/>
    <xf numFmtId="0" fontId="0" fillId="4" borderId="4" xfId="0" applyFont="1" applyFill="1" applyBorder="1"/>
    <xf numFmtId="17" fontId="18" fillId="4" borderId="0" xfId="0" applyNumberFormat="1" applyFont="1" applyFill="1" applyBorder="1"/>
    <xf numFmtId="0" fontId="16" fillId="4" borderId="4" xfId="0" applyFont="1" applyFill="1" applyBorder="1" applyAlignment="1"/>
    <xf numFmtId="0" fontId="16" fillId="4" borderId="11" xfId="0" applyFont="1" applyFill="1" applyBorder="1" applyAlignment="1"/>
    <xf numFmtId="0" fontId="6" fillId="4" borderId="0" xfId="0" applyFont="1" applyFill="1" applyAlignment="1">
      <alignment vertical="center" wrapText="1"/>
    </xf>
    <xf numFmtId="0" fontId="6" fillId="4" borderId="5" xfId="0" applyFont="1" applyFill="1" applyBorder="1" applyAlignment="1">
      <alignment vertical="center" wrapText="1"/>
    </xf>
    <xf numFmtId="17" fontId="18" fillId="4" borderId="10" xfId="0" applyNumberFormat="1" applyFont="1" applyFill="1" applyBorder="1"/>
    <xf numFmtId="17" fontId="18" fillId="4" borderId="5" xfId="0" applyNumberFormat="1" applyFont="1" applyFill="1" applyBorder="1"/>
    <xf numFmtId="17" fontId="18" fillId="4" borderId="12" xfId="0" applyNumberFormat="1" applyFont="1" applyFill="1" applyBorder="1"/>
    <xf numFmtId="166" fontId="0" fillId="2" borderId="0" xfId="0" applyNumberFormat="1" applyFont="1" applyFill="1" applyBorder="1" applyAlignment="1">
      <alignment horizontal="left" indent="2"/>
    </xf>
    <xf numFmtId="183" fontId="0" fillId="2" borderId="0" xfId="1" applyNumberFormat="1" applyFont="1" applyFill="1" applyBorder="1"/>
    <xf numFmtId="183" fontId="0" fillId="2" borderId="5" xfId="1" applyNumberFormat="1" applyFont="1" applyFill="1" applyBorder="1"/>
    <xf numFmtId="183" fontId="0" fillId="2" borderId="4" xfId="1" applyNumberFormat="1" applyFont="1" applyFill="1" applyBorder="1"/>
    <xf numFmtId="0" fontId="2" fillId="4" borderId="7" xfId="0" applyFont="1" applyFill="1" applyBorder="1"/>
    <xf numFmtId="0" fontId="2" fillId="4" borderId="8" xfId="0" applyFont="1" applyFill="1" applyBorder="1"/>
    <xf numFmtId="3" fontId="2" fillId="4" borderId="40" xfId="0" applyNumberFormat="1" applyFont="1" applyFill="1" applyBorder="1" applyAlignment="1">
      <alignment horizontal="center"/>
    </xf>
    <xf numFmtId="3" fontId="2" fillId="4" borderId="8" xfId="0" applyNumberFormat="1" applyFont="1" applyFill="1" applyBorder="1" applyAlignment="1">
      <alignment horizontal="center"/>
    </xf>
    <xf numFmtId="0" fontId="2" fillId="4" borderId="40" xfId="0" applyFont="1" applyFill="1" applyBorder="1" applyAlignment="1">
      <alignment horizontal="center"/>
    </xf>
    <xf numFmtId="0" fontId="2" fillId="4" borderId="8" xfId="0" applyFont="1" applyFill="1" applyBorder="1" applyAlignment="1">
      <alignment horizontal="center"/>
    </xf>
    <xf numFmtId="3" fontId="2" fillId="4" borderId="26" xfId="0" applyNumberFormat="1" applyFont="1" applyFill="1" applyBorder="1" applyAlignment="1">
      <alignment horizontal="center"/>
    </xf>
    <xf numFmtId="3" fontId="2" fillId="4" borderId="17" xfId="0" applyNumberFormat="1" applyFont="1" applyFill="1" applyBorder="1" applyAlignment="1">
      <alignment horizontal="center"/>
    </xf>
    <xf numFmtId="166" fontId="20" fillId="2" borderId="0" xfId="0" applyNumberFormat="1" applyFont="1" applyFill="1" applyBorder="1"/>
    <xf numFmtId="167" fontId="20" fillId="2" borderId="0" xfId="0" applyNumberFormat="1" applyFont="1" applyFill="1" applyBorder="1"/>
    <xf numFmtId="166" fontId="29" fillId="2" borderId="1" xfId="0" applyNumberFormat="1" applyFont="1" applyFill="1" applyBorder="1"/>
    <xf numFmtId="184" fontId="29" fillId="2" borderId="0" xfId="0" applyNumberFormat="1" applyFont="1" applyFill="1" applyBorder="1"/>
    <xf numFmtId="184" fontId="29" fillId="2" borderId="2" xfId="0" applyNumberFormat="1" applyFont="1" applyFill="1" applyBorder="1"/>
    <xf numFmtId="166" fontId="29" fillId="7" borderId="0" xfId="0" applyNumberFormat="1" applyFont="1" applyFill="1" applyBorder="1"/>
    <xf numFmtId="0" fontId="45" fillId="9" borderId="0" xfId="0" applyFont="1" applyFill="1"/>
    <xf numFmtId="0" fontId="46" fillId="9" borderId="4" xfId="0" applyFont="1" applyFill="1" applyBorder="1"/>
    <xf numFmtId="0" fontId="47" fillId="9" borderId="42" xfId="0" applyFont="1" applyFill="1" applyBorder="1" applyAlignment="1">
      <alignment horizontal="right"/>
    </xf>
    <xf numFmtId="0" fontId="46" fillId="9" borderId="5" xfId="0" applyFont="1" applyFill="1" applyBorder="1"/>
    <xf numFmtId="0" fontId="46" fillId="9" borderId="0" xfId="0" applyFont="1" applyFill="1" applyBorder="1"/>
    <xf numFmtId="0" fontId="48" fillId="9" borderId="0" xfId="0" applyFont="1" applyFill="1" applyBorder="1"/>
    <xf numFmtId="0" fontId="48" fillId="9" borderId="2" xfId="0" applyFont="1" applyFill="1" applyBorder="1"/>
    <xf numFmtId="0" fontId="45" fillId="2" borderId="0" xfId="0" applyFont="1" applyFill="1"/>
    <xf numFmtId="183" fontId="48" fillId="9" borderId="0" xfId="1" applyNumberFormat="1" applyFont="1" applyFill="1" applyAlignment="1">
      <alignment horizontal="right"/>
    </xf>
    <xf numFmtId="0" fontId="49" fillId="9" borderId="1" xfId="0" applyFont="1" applyFill="1" applyBorder="1"/>
    <xf numFmtId="187" fontId="48" fillId="9" borderId="0" xfId="20" applyNumberFormat="1" applyFont="1" applyFill="1" applyAlignment="1">
      <alignment horizontal="right"/>
    </xf>
    <xf numFmtId="178" fontId="48" fillId="9" borderId="0" xfId="1" applyNumberFormat="1" applyFont="1" applyFill="1" applyAlignment="1">
      <alignment horizontal="right"/>
    </xf>
    <xf numFmtId="0" fontId="50" fillId="9" borderId="0" xfId="0" applyFont="1" applyFill="1"/>
    <xf numFmtId="0" fontId="48" fillId="9" borderId="0" xfId="0" applyFont="1" applyFill="1"/>
    <xf numFmtId="0" fontId="48" fillId="9" borderId="1" xfId="0" applyFont="1" applyFill="1" applyBorder="1"/>
    <xf numFmtId="0" fontId="45" fillId="2" borderId="0" xfId="0" applyFont="1" applyFill="1" applyBorder="1"/>
    <xf numFmtId="0" fontId="51" fillId="2" borderId="0" xfId="0" applyFont="1" applyFill="1"/>
    <xf numFmtId="0" fontId="52" fillId="2" borderId="0" xfId="0" applyFont="1" applyFill="1"/>
    <xf numFmtId="0" fontId="53" fillId="2" borderId="0" xfId="0" applyFont="1" applyFill="1" applyBorder="1"/>
    <xf numFmtId="3" fontId="54" fillId="2" borderId="0" xfId="0" applyNumberFormat="1" applyFont="1" applyFill="1" applyBorder="1" applyAlignment="1"/>
    <xf numFmtId="3" fontId="55" fillId="2" borderId="0" xfId="0" applyNumberFormat="1" applyFont="1" applyFill="1" applyBorder="1" applyAlignment="1"/>
    <xf numFmtId="0" fontId="56" fillId="2" borderId="0" xfId="0" applyFont="1" applyFill="1" applyBorder="1"/>
    <xf numFmtId="0" fontId="57" fillId="2" borderId="0" xfId="0" applyFont="1" applyFill="1" applyBorder="1"/>
    <xf numFmtId="0" fontId="52" fillId="10" borderId="0" xfId="0" applyFont="1" applyFill="1" applyBorder="1"/>
    <xf numFmtId="164" fontId="58" fillId="10" borderId="0" xfId="1" applyNumberFormat="1" applyFont="1" applyFill="1" applyBorder="1" applyAlignment="1"/>
    <xf numFmtId="164" fontId="59" fillId="2" borderId="0" xfId="1" applyNumberFormat="1" applyFont="1" applyFill="1" applyBorder="1" applyAlignment="1"/>
    <xf numFmtId="9" fontId="45" fillId="2" borderId="0" xfId="3" applyNumberFormat="1" applyFont="1" applyFill="1" applyBorder="1"/>
    <xf numFmtId="9" fontId="45" fillId="2" borderId="0" xfId="3" applyNumberFormat="1" applyFont="1" applyFill="1"/>
    <xf numFmtId="175" fontId="54" fillId="2" borderId="0" xfId="1" applyNumberFormat="1" applyFont="1" applyFill="1" applyBorder="1" applyAlignment="1"/>
    <xf numFmtId="175" fontId="55" fillId="2" borderId="0" xfId="1" applyNumberFormat="1" applyFont="1" applyFill="1" applyBorder="1" applyAlignment="1"/>
    <xf numFmtId="174" fontId="60" fillId="2" borderId="0" xfId="0" applyNumberFormat="1" applyFont="1" applyFill="1" applyBorder="1"/>
    <xf numFmtId="0" fontId="53" fillId="10" borderId="0" xfId="4" applyFont="1" applyFill="1" applyBorder="1"/>
    <xf numFmtId="9" fontId="61" fillId="10" borderId="0" xfId="3" applyNumberFormat="1" applyFont="1" applyFill="1" applyBorder="1"/>
    <xf numFmtId="9" fontId="62" fillId="2" borderId="0" xfId="3" applyFont="1" applyFill="1" applyBorder="1" applyAlignment="1"/>
    <xf numFmtId="0" fontId="60" fillId="2" borderId="0" xfId="0" applyFont="1" applyFill="1" applyBorder="1"/>
    <xf numFmtId="178" fontId="57" fillId="2" borderId="0" xfId="0" applyNumberFormat="1" applyFont="1" applyFill="1" applyBorder="1"/>
    <xf numFmtId="0" fontId="53" fillId="2" borderId="0" xfId="4" applyFont="1" applyFill="1" applyBorder="1"/>
    <xf numFmtId="183" fontId="58" fillId="2" borderId="0" xfId="1" applyNumberFormat="1" applyFont="1" applyFill="1" applyBorder="1" applyAlignment="1"/>
    <xf numFmtId="171" fontId="61" fillId="10" borderId="0" xfId="0" applyNumberFormat="1" applyFont="1" applyFill="1" applyBorder="1"/>
    <xf numFmtId="166" fontId="61" fillId="10" borderId="0" xfId="0" applyNumberFormat="1" applyFont="1" applyFill="1" applyBorder="1"/>
    <xf numFmtId="9" fontId="61" fillId="10" borderId="0" xfId="3" applyFont="1" applyFill="1" applyBorder="1" applyAlignment="1"/>
    <xf numFmtId="177" fontId="61" fillId="2" borderId="0" xfId="3" applyNumberFormat="1" applyFont="1" applyFill="1" applyBorder="1" applyAlignment="1">
      <alignment horizontal="right"/>
    </xf>
    <xf numFmtId="166" fontId="61" fillId="2" borderId="0" xfId="0" applyNumberFormat="1" applyFont="1" applyFill="1" applyBorder="1"/>
    <xf numFmtId="171" fontId="61" fillId="10" borderId="0" xfId="0" applyNumberFormat="1" applyFont="1" applyFill="1" applyBorder="1" applyAlignment="1"/>
    <xf numFmtId="171" fontId="62" fillId="2" borderId="0" xfId="0" applyNumberFormat="1" applyFont="1" applyFill="1" applyBorder="1" applyAlignment="1"/>
    <xf numFmtId="171" fontId="63" fillId="2" borderId="0" xfId="0" applyNumberFormat="1" applyFont="1" applyFill="1" applyBorder="1" applyAlignment="1">
      <alignment vertical="center"/>
    </xf>
    <xf numFmtId="170" fontId="57" fillId="2" borderId="0" xfId="0" applyNumberFormat="1" applyFont="1" applyFill="1" applyBorder="1"/>
    <xf numFmtId="0" fontId="64" fillId="2" borderId="0" xfId="0" applyFont="1" applyFill="1"/>
    <xf numFmtId="1" fontId="55" fillId="2" borderId="0" xfId="3" applyNumberFormat="1" applyFont="1" applyFill="1" applyBorder="1" applyAlignment="1"/>
    <xf numFmtId="0" fontId="15" fillId="8" borderId="58" xfId="0" applyFont="1" applyFill="1" applyBorder="1" applyAlignment="1">
      <alignment horizontal="center"/>
    </xf>
    <xf numFmtId="17" fontId="2" fillId="8" borderId="43" xfId="0" applyNumberFormat="1" applyFont="1" applyFill="1" applyBorder="1" applyAlignment="1">
      <alignment horizontal="center"/>
    </xf>
    <xf numFmtId="0" fontId="15" fillId="8" borderId="6" xfId="0" applyFont="1" applyFill="1" applyBorder="1" applyAlignment="1">
      <alignment horizontal="center"/>
    </xf>
    <xf numFmtId="0" fontId="0" fillId="0" borderId="6" xfId="0" applyBorder="1"/>
    <xf numFmtId="0" fontId="0" fillId="2" borderId="60" xfId="0" applyFill="1" applyBorder="1"/>
    <xf numFmtId="0" fontId="0" fillId="0" borderId="60" xfId="0" applyBorder="1"/>
    <xf numFmtId="0" fontId="0" fillId="2" borderId="52" xfId="0" applyFill="1" applyBorder="1"/>
    <xf numFmtId="0" fontId="0" fillId="2" borderId="6" xfId="0" applyFill="1" applyBorder="1"/>
    <xf numFmtId="0" fontId="0" fillId="0" borderId="7" xfId="0" applyBorder="1"/>
    <xf numFmtId="180" fontId="0" fillId="0" borderId="8" xfId="0" applyNumberFormat="1" applyBorder="1"/>
    <xf numFmtId="166" fontId="0" fillId="2" borderId="40" xfId="0" applyNumberFormat="1" applyFill="1" applyBorder="1"/>
    <xf numFmtId="3" fontId="41" fillId="2" borderId="1" xfId="0" applyNumberFormat="1" applyFont="1" applyFill="1" applyBorder="1"/>
    <xf numFmtId="17" fontId="3" fillId="8" borderId="43" xfId="0" applyNumberFormat="1" applyFont="1" applyFill="1" applyBorder="1" applyAlignment="1">
      <alignment horizontal="center"/>
    </xf>
    <xf numFmtId="17" fontId="3" fillId="8" borderId="0" xfId="0" applyNumberFormat="1" applyFont="1" applyFill="1" applyBorder="1" applyAlignment="1">
      <alignment horizontal="center"/>
    </xf>
    <xf numFmtId="3" fontId="0" fillId="0" borderId="4" xfId="0" applyNumberFormat="1" applyFont="1" applyBorder="1"/>
    <xf numFmtId="3" fontId="0" fillId="0" borderId="11" xfId="0" applyNumberFormat="1" applyFont="1" applyBorder="1"/>
    <xf numFmtId="3" fontId="0" fillId="0" borderId="0" xfId="0" applyNumberFormat="1" applyFont="1" applyBorder="1"/>
    <xf numFmtId="3" fontId="0" fillId="0" borderId="2" xfId="0" applyNumberFormat="1" applyFont="1" applyBorder="1"/>
    <xf numFmtId="3" fontId="0" fillId="0" borderId="5" xfId="0" applyNumberFormat="1" applyFont="1" applyBorder="1"/>
    <xf numFmtId="3" fontId="0" fillId="0" borderId="12" xfId="0" applyNumberFormat="1" applyFont="1" applyBorder="1"/>
    <xf numFmtId="3" fontId="0" fillId="0" borderId="8" xfId="0" applyNumberFormat="1" applyFont="1" applyBorder="1"/>
    <xf numFmtId="0" fontId="45" fillId="2" borderId="0" xfId="0" applyFont="1" applyFill="1" applyAlignment="1">
      <alignment horizontal="left" indent="1"/>
    </xf>
    <xf numFmtId="171" fontId="63" fillId="2" borderId="0" xfId="0" applyNumberFormat="1" applyFont="1" applyFill="1" applyBorder="1" applyAlignment="1">
      <alignment horizontal="left" vertical="center" indent="1"/>
    </xf>
    <xf numFmtId="186" fontId="0" fillId="2" borderId="0" xfId="0" applyNumberFormat="1" applyFont="1" applyFill="1"/>
    <xf numFmtId="4" fontId="32" fillId="2" borderId="0" xfId="0" applyNumberFormat="1" applyFont="1" applyFill="1"/>
    <xf numFmtId="0" fontId="15" fillId="2" borderId="9" xfId="0" applyFont="1" applyFill="1" applyBorder="1"/>
    <xf numFmtId="0" fontId="0" fillId="0" borderId="0" xfId="0"/>
    <xf numFmtId="0" fontId="14" fillId="2" borderId="0" xfId="0" applyFont="1" applyFill="1" applyBorder="1"/>
    <xf numFmtId="0" fontId="48" fillId="9" borderId="5" xfId="0" applyFont="1" applyFill="1" applyBorder="1" applyAlignment="1">
      <alignment horizontal="center" vertical="center" wrapText="1"/>
    </xf>
    <xf numFmtId="0" fontId="45" fillId="9" borderId="0" xfId="0" applyFont="1" applyFill="1" applyAlignment="1">
      <alignment wrapText="1"/>
    </xf>
    <xf numFmtId="3" fontId="0" fillId="11" borderId="9" xfId="0" applyNumberFormat="1" applyFill="1" applyBorder="1"/>
    <xf numFmtId="3" fontId="0" fillId="11" borderId="4" xfId="0" applyNumberFormat="1" applyFill="1" applyBorder="1"/>
    <xf numFmtId="180" fontId="0" fillId="11" borderId="10" xfId="0" applyNumberFormat="1" applyFill="1" applyBorder="1"/>
    <xf numFmtId="3" fontId="3" fillId="11" borderId="36" xfId="0" applyNumberFormat="1" applyFont="1" applyFill="1" applyBorder="1"/>
    <xf numFmtId="3" fontId="0" fillId="11" borderId="5" xfId="0" applyNumberFormat="1" applyFill="1" applyBorder="1"/>
    <xf numFmtId="166" fontId="3" fillId="11" borderId="36" xfId="0" applyNumberFormat="1" applyFont="1" applyFill="1" applyBorder="1"/>
    <xf numFmtId="166" fontId="0" fillId="11" borderId="5" xfId="0" applyNumberFormat="1" applyFill="1" applyBorder="1"/>
    <xf numFmtId="0" fontId="16" fillId="2" borderId="5" xfId="0" applyFont="1" applyFill="1" applyBorder="1"/>
    <xf numFmtId="3" fontId="16" fillId="2" borderId="1" xfId="0" applyNumberFormat="1" applyFont="1" applyFill="1" applyBorder="1"/>
    <xf numFmtId="0" fontId="16" fillId="2" borderId="12" xfId="0" applyFont="1" applyFill="1" applyBorder="1"/>
    <xf numFmtId="0" fontId="14" fillId="10" borderId="0" xfId="4" applyFont="1" applyFill="1" applyBorder="1"/>
    <xf numFmtId="188" fontId="61" fillId="10" borderId="0" xfId="3" applyNumberFormat="1" applyFont="1" applyFill="1" applyBorder="1" applyAlignment="1">
      <alignment horizontal="right"/>
    </xf>
    <xf numFmtId="9" fontId="55" fillId="2" borderId="0" xfId="3" applyFont="1" applyFill="1" applyBorder="1" applyAlignment="1"/>
    <xf numFmtId="0" fontId="48" fillId="2" borderId="0" xfId="0" applyFont="1" applyFill="1" applyBorder="1"/>
    <xf numFmtId="0" fontId="15" fillId="2" borderId="0" xfId="0" applyFont="1" applyFill="1" applyBorder="1"/>
    <xf numFmtId="0" fontId="15" fillId="2" borderId="0" xfId="0" applyFont="1" applyFill="1"/>
    <xf numFmtId="0" fontId="2" fillId="9" borderId="0" xfId="0" applyFont="1" applyFill="1" applyBorder="1"/>
    <xf numFmtId="0" fontId="65" fillId="9" borderId="0" xfId="0" applyFont="1" applyFill="1" applyAlignment="1">
      <alignment horizontal="right"/>
    </xf>
    <xf numFmtId="0" fontId="0" fillId="2" borderId="0" xfId="0" applyFill="1" applyAlignment="1">
      <alignment horizontal="left"/>
    </xf>
    <xf numFmtId="0" fontId="0" fillId="2" borderId="6" xfId="0" applyFill="1" applyBorder="1" applyAlignment="1"/>
    <xf numFmtId="0" fontId="0" fillId="0" borderId="0" xfId="0" applyBorder="1" applyAlignment="1"/>
    <xf numFmtId="0" fontId="0" fillId="2" borderId="52" xfId="0" applyFill="1" applyBorder="1" applyAlignment="1"/>
    <xf numFmtId="0" fontId="0" fillId="0" borderId="5" xfId="0" applyBorder="1" applyAlignment="1"/>
    <xf numFmtId="0" fontId="0" fillId="0" borderId="12" xfId="0" applyBorder="1" applyAlignment="1"/>
    <xf numFmtId="0" fontId="15" fillId="2" borderId="6" xfId="0" applyFont="1" applyFill="1" applyBorder="1" applyAlignment="1">
      <alignment horizontal="left" vertical="center" wrapText="1"/>
    </xf>
    <xf numFmtId="0" fontId="15" fillId="2" borderId="0" xfId="0" applyFont="1" applyFill="1" applyBorder="1" applyAlignment="1">
      <alignment horizontal="left" vertical="center" wrapText="1"/>
    </xf>
    <xf numFmtId="0" fontId="15" fillId="4" borderId="0" xfId="0" applyFont="1" applyFill="1" applyBorder="1" applyAlignment="1">
      <alignment horizontal="left" wrapText="1"/>
    </xf>
    <xf numFmtId="0" fontId="6" fillId="4" borderId="33" xfId="0" applyFont="1" applyFill="1" applyBorder="1" applyAlignment="1"/>
    <xf numFmtId="0" fontId="5" fillId="4" borderId="50" xfId="0" applyFont="1" applyFill="1" applyBorder="1" applyAlignment="1"/>
    <xf numFmtId="0" fontId="45" fillId="2" borderId="0" xfId="0" applyFont="1" applyFill="1" applyAlignment="1">
      <alignment horizontal="left" wrapText="1" indent="1"/>
    </xf>
    <xf numFmtId="0" fontId="0" fillId="2" borderId="0" xfId="0" applyFill="1" applyAlignment="1">
      <alignment horizontal="left" indent="1"/>
    </xf>
    <xf numFmtId="0" fontId="65" fillId="9" borderId="0" xfId="0" applyFont="1" applyFill="1" applyAlignment="1">
      <alignment horizontal="center" vertical="center" wrapText="1"/>
    </xf>
    <xf numFmtId="0" fontId="65" fillId="9" borderId="5" xfId="0" applyFont="1" applyFill="1" applyBorder="1" applyAlignment="1">
      <alignment horizontal="center" vertical="center" wrapText="1"/>
    </xf>
    <xf numFmtId="0" fontId="32" fillId="2" borderId="1" xfId="0" applyFont="1" applyFill="1" applyBorder="1" applyAlignment="1"/>
    <xf numFmtId="0" fontId="32" fillId="2" borderId="2" xfId="0" applyFont="1" applyFill="1" applyBorder="1" applyAlignment="1"/>
    <xf numFmtId="0" fontId="32" fillId="2" borderId="10" xfId="0" applyFont="1" applyFill="1" applyBorder="1" applyAlignment="1"/>
    <xf numFmtId="0" fontId="32" fillId="2" borderId="12" xfId="0" applyFont="1" applyFill="1" applyBorder="1" applyAlignment="1"/>
    <xf numFmtId="0" fontId="40" fillId="5" borderId="9" xfId="0" applyFont="1" applyFill="1" applyBorder="1" applyAlignment="1"/>
    <xf numFmtId="0" fontId="40" fillId="5" borderId="4" xfId="0" applyFont="1" applyFill="1" applyBorder="1" applyAlignment="1"/>
    <xf numFmtId="0" fontId="40" fillId="5" borderId="0" xfId="0" applyFont="1" applyFill="1" applyBorder="1" applyAlignment="1"/>
    <xf numFmtId="0" fontId="40" fillId="5" borderId="11" xfId="0" applyFont="1" applyFill="1" applyBorder="1" applyAlignment="1"/>
    <xf numFmtId="0" fontId="29" fillId="2" borderId="10" xfId="0" applyFont="1" applyFill="1" applyBorder="1" applyAlignment="1"/>
    <xf numFmtId="0" fontId="29" fillId="0" borderId="12" xfId="0" applyFont="1" applyBorder="1" applyAlignment="1"/>
    <xf numFmtId="0" fontId="32" fillId="0" borderId="0" xfId="0" applyFont="1" applyBorder="1" applyAlignment="1"/>
    <xf numFmtId="178" fontId="32" fillId="2" borderId="1" xfId="0" applyNumberFormat="1" applyFont="1" applyFill="1" applyBorder="1" applyAlignment="1"/>
    <xf numFmtId="178" fontId="32" fillId="2" borderId="0" xfId="0" applyNumberFormat="1" applyFont="1" applyFill="1" applyBorder="1" applyAlignment="1"/>
    <xf numFmtId="0" fontId="32" fillId="2" borderId="0" xfId="0" applyFont="1" applyFill="1" applyBorder="1" applyAlignment="1"/>
    <xf numFmtId="2" fontId="3" fillId="2" borderId="53" xfId="0" applyNumberFormat="1" applyFont="1" applyFill="1" applyBorder="1" applyAlignment="1"/>
    <xf numFmtId="2" fontId="3" fillId="0" borderId="55" xfId="0" applyNumberFormat="1" applyFont="1" applyBorder="1" applyAlignment="1"/>
    <xf numFmtId="178" fontId="3" fillId="2" borderId="53" xfId="0" applyNumberFormat="1" applyFont="1" applyFill="1" applyBorder="1" applyAlignment="1"/>
    <xf numFmtId="178" fontId="3" fillId="0" borderId="55" xfId="0" applyNumberFormat="1" applyFont="1" applyBorder="1" applyAlignment="1"/>
    <xf numFmtId="2" fontId="32" fillId="2" borderId="9" xfId="0" applyNumberFormat="1" applyFont="1" applyFill="1" applyBorder="1" applyAlignment="1"/>
    <xf numFmtId="2" fontId="32" fillId="0" borderId="4" xfId="0" applyNumberFormat="1" applyFont="1" applyBorder="1" applyAlignment="1"/>
    <xf numFmtId="0" fontId="36" fillId="5" borderId="14" xfId="0" applyFont="1" applyFill="1" applyBorder="1" applyAlignment="1">
      <alignment horizontal="center"/>
    </xf>
    <xf numFmtId="0" fontId="36" fillId="5" borderId="25" xfId="0" applyFont="1" applyFill="1" applyBorder="1" applyAlignment="1">
      <alignment horizontal="center"/>
    </xf>
    <xf numFmtId="0" fontId="0" fillId="2" borderId="1" xfId="0" applyFont="1" applyFill="1" applyBorder="1" applyAlignment="1"/>
    <xf numFmtId="0" fontId="32" fillId="0" borderId="2" xfId="0" applyFont="1" applyBorder="1" applyAlignment="1"/>
    <xf numFmtId="2" fontId="32" fillId="2" borderId="1" xfId="0" applyNumberFormat="1" applyFont="1" applyFill="1" applyBorder="1" applyAlignment="1"/>
    <xf numFmtId="2" fontId="32" fillId="0" borderId="2" xfId="0" applyNumberFormat="1" applyFont="1" applyBorder="1" applyAlignment="1"/>
    <xf numFmtId="178" fontId="32" fillId="0" borderId="2" xfId="0" applyNumberFormat="1" applyFont="1" applyBorder="1" applyAlignment="1"/>
    <xf numFmtId="0" fontId="32" fillId="5" borderId="9" xfId="0" applyFont="1" applyFill="1" applyBorder="1" applyAlignment="1"/>
    <xf numFmtId="0" fontId="32" fillId="5" borderId="11" xfId="0" applyFont="1" applyFill="1" applyBorder="1" applyAlignment="1"/>
    <xf numFmtId="0" fontId="32" fillId="5" borderId="1" xfId="0" applyFont="1" applyFill="1" applyBorder="1" applyAlignment="1"/>
    <xf numFmtId="0" fontId="32" fillId="5" borderId="2" xfId="0" applyFont="1" applyFill="1" applyBorder="1" applyAlignment="1"/>
    <xf numFmtId="0" fontId="32" fillId="2" borderId="9" xfId="0" applyFont="1" applyFill="1" applyBorder="1" applyAlignment="1"/>
    <xf numFmtId="0" fontId="32" fillId="0" borderId="11" xfId="0" applyFont="1" applyBorder="1" applyAlignment="1"/>
    <xf numFmtId="0" fontId="35" fillId="5" borderId="4" xfId="0" applyFont="1" applyFill="1" applyBorder="1" applyAlignment="1">
      <alignment horizontal="center"/>
    </xf>
    <xf numFmtId="0" fontId="32" fillId="0" borderId="12" xfId="0" applyFont="1" applyBorder="1" applyAlignment="1"/>
    <xf numFmtId="0" fontId="32" fillId="0" borderId="25" xfId="0" applyFont="1" applyBorder="1" applyAlignment="1">
      <alignment horizontal="center"/>
    </xf>
    <xf numFmtId="0" fontId="32" fillId="6" borderId="10" xfId="0" applyFont="1" applyFill="1" applyBorder="1" applyAlignment="1"/>
    <xf numFmtId="0" fontId="32" fillId="6" borderId="12" xfId="0" applyFont="1" applyFill="1" applyBorder="1" applyAlignment="1"/>
    <xf numFmtId="2" fontId="32" fillId="0" borderId="11" xfId="0" applyNumberFormat="1" applyFont="1" applyBorder="1" applyAlignment="1"/>
    <xf numFmtId="178" fontId="32" fillId="0" borderId="0" xfId="0" applyNumberFormat="1" applyFont="1" applyBorder="1" applyAlignment="1"/>
    <xf numFmtId="178" fontId="3" fillId="0" borderId="54" xfId="0" applyNumberFormat="1" applyFont="1" applyBorder="1" applyAlignment="1"/>
    <xf numFmtId="178" fontId="32" fillId="2" borderId="2" xfId="0" applyNumberFormat="1" applyFont="1" applyFill="1" applyBorder="1" applyAlignment="1"/>
    <xf numFmtId="2" fontId="32" fillId="2" borderId="2" xfId="0" applyNumberFormat="1" applyFont="1" applyFill="1" applyBorder="1" applyAlignment="1"/>
    <xf numFmtId="0" fontId="6" fillId="4" borderId="0" xfId="0" applyFont="1" applyFill="1" applyAlignment="1">
      <alignment horizontal="center" vertical="center" wrapText="1"/>
    </xf>
    <xf numFmtId="0" fontId="6" fillId="4" borderId="5" xfId="0" applyFont="1" applyFill="1" applyBorder="1" applyAlignment="1">
      <alignment horizontal="center" vertical="center" wrapText="1"/>
    </xf>
    <xf numFmtId="0" fontId="31" fillId="0" borderId="0" xfId="0" applyFont="1" applyAlignment="1">
      <alignment horizontal="center" vertical="center"/>
    </xf>
    <xf numFmtId="0" fontId="17" fillId="4" borderId="9" xfId="0" applyFont="1" applyFill="1" applyBorder="1" applyAlignment="1">
      <alignment horizontal="center"/>
    </xf>
    <xf numFmtId="0" fontId="17" fillId="4" borderId="4" xfId="0" applyFont="1" applyFill="1" applyBorder="1" applyAlignment="1">
      <alignment horizontal="center"/>
    </xf>
    <xf numFmtId="0" fontId="17" fillId="4" borderId="11" xfId="0" applyFont="1" applyFill="1" applyBorder="1" applyAlignment="1">
      <alignment horizontal="center"/>
    </xf>
    <xf numFmtId="0" fontId="19" fillId="2" borderId="5" xfId="0" applyFont="1" applyFill="1" applyBorder="1" applyAlignment="1">
      <alignment horizontal="center"/>
    </xf>
    <xf numFmtId="0" fontId="16" fillId="4" borderId="4" xfId="0" applyFont="1" applyFill="1" applyBorder="1" applyAlignment="1">
      <alignment horizontal="center"/>
    </xf>
    <xf numFmtId="0" fontId="16" fillId="4" borderId="11" xfId="0" applyFont="1" applyFill="1" applyBorder="1" applyAlignment="1">
      <alignment horizontal="center"/>
    </xf>
    <xf numFmtId="0" fontId="6" fillId="4" borderId="9" xfId="0" applyFont="1" applyFill="1" applyBorder="1" applyAlignment="1">
      <alignment horizontal="center"/>
    </xf>
    <xf numFmtId="0" fontId="6" fillId="4" borderId="4" xfId="0" applyFont="1" applyFill="1" applyBorder="1" applyAlignment="1">
      <alignment horizontal="center"/>
    </xf>
    <xf numFmtId="0" fontId="2" fillId="8" borderId="47" xfId="0" applyFont="1" applyFill="1" applyBorder="1" applyAlignment="1">
      <alignment horizontal="center"/>
    </xf>
    <xf numFmtId="0" fontId="2" fillId="8" borderId="3" xfId="0" applyFont="1" applyFill="1" applyBorder="1" applyAlignment="1">
      <alignment horizontal="center"/>
    </xf>
    <xf numFmtId="0" fontId="6" fillId="8" borderId="59" xfId="0" applyFont="1" applyFill="1" applyBorder="1" applyAlignment="1">
      <alignment horizontal="center"/>
    </xf>
    <xf numFmtId="0" fontId="6" fillId="8" borderId="43" xfId="0" applyFont="1" applyFill="1" applyBorder="1" applyAlignment="1">
      <alignment horizontal="center"/>
    </xf>
    <xf numFmtId="0" fontId="2" fillId="8" borderId="48" xfId="0" applyFont="1" applyFill="1" applyBorder="1" applyAlignment="1">
      <alignment horizontal="center"/>
    </xf>
  </cellXfs>
  <cellStyles count="27">
    <cellStyle name="Besuchter Hyperlink" xfId="9" builtinId="9" hidden="1"/>
    <cellStyle name="Besuchter Hyperlink" xfId="11" builtinId="9" hidden="1"/>
    <cellStyle name="Besuchter Hyperlink" xfId="13" builtinId="9" hidden="1"/>
    <cellStyle name="Besuchter Hyperlink" xfId="15" builtinId="9" hidden="1"/>
    <cellStyle name="Komma" xfId="1" builtinId="3"/>
    <cellStyle name="Komma 2" xfId="5" xr:uid="{00000000-0005-0000-0000-000005000000}"/>
    <cellStyle name="Link" xfId="8" builtinId="8" hidden="1"/>
    <cellStyle name="Link" xfId="10" builtinId="8" hidden="1"/>
    <cellStyle name="Link" xfId="12" builtinId="8" hidden="1"/>
    <cellStyle name="Link" xfId="14" builtinId="8" hidden="1"/>
    <cellStyle name="Link" xfId="18" builtinId="8"/>
    <cellStyle name="Normal 2" xfId="23" xr:uid="{00000000-0005-0000-0000-000001000000}"/>
    <cellStyle name="Normal_LVC Tool" xfId="25" xr:uid="{00000000-0005-0000-0000-000002000000}"/>
    <cellStyle name="Percent 2" xfId="24" xr:uid="{00000000-0005-0000-0000-000003000000}"/>
    <cellStyle name="Prozent" xfId="3" builtinId="5"/>
    <cellStyle name="Prozent 2" xfId="7" xr:uid="{00000000-0005-0000-0000-00000B000000}"/>
    <cellStyle name="Prozent 2 2" xfId="22" xr:uid="{00000000-0005-0000-0000-000005000000}"/>
    <cellStyle name="Stand. 2" xfId="2" xr:uid="{00000000-0005-0000-0000-00000C000000}"/>
    <cellStyle name="Standard" xfId="0" builtinId="0"/>
    <cellStyle name="Standard 2" xfId="4" xr:uid="{00000000-0005-0000-0000-00000E000000}"/>
    <cellStyle name="Standard 2 2" xfId="26" xr:uid="{00000000-0005-0000-0000-000008000000}"/>
    <cellStyle name="Standard 3" xfId="19" xr:uid="{4D79F634-0B0D-4636-A4F2-F07211F78946}"/>
    <cellStyle name="Währung" xfId="20" builtinId="4"/>
    <cellStyle name="Währung 2" xfId="6" xr:uid="{00000000-0005-0000-0000-00000F000000}"/>
    <cellStyle name="Währung 2 2" xfId="21" xr:uid="{00000000-0005-0000-0000-00000B000000}"/>
    <cellStyle name="Обычный 3" xfId="17" xr:uid="{04C76070-FEA9-4B66-BCA4-27245E02B97E}"/>
    <cellStyle name="Финансовый 4" xfId="16" xr:uid="{00000000-0005-0000-0000-000010000000}"/>
  </cellStyles>
  <dxfs count="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DDEFF"/>
      <color rgb="FFF8CCBA"/>
      <color rgb="FFFFA7A7"/>
      <color rgb="FFFF9393"/>
      <color rgb="FF7A0000"/>
      <color rgb="FF001B50"/>
      <color rgb="FF66CCFF"/>
      <color rgb="FFABC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Token Allocation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de-DE"/>
        </a:p>
      </c:txPr>
    </c:title>
    <c:autoTitleDeleted val="0"/>
    <c:plotArea>
      <c:layout/>
      <c:pieChart>
        <c:varyColors val="1"/>
        <c:ser>
          <c:idx val="1"/>
          <c:order val="0"/>
          <c:tx>
            <c:strRef>
              <c:f>'ICO Overview'!$B$17</c:f>
              <c:strCache>
                <c:ptCount val="1"/>
                <c:pt idx="0">
                  <c:v>Token Sale</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E025-4DFD-A095-09343397C6DE}"/>
              </c:ext>
            </c:extLst>
          </c:dPt>
          <c:dPt>
            <c:idx val="1"/>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3-E025-4DFD-A095-09343397C6DE}"/>
              </c:ext>
            </c:extLst>
          </c:dPt>
          <c:dPt>
            <c:idx val="2"/>
            <c:bubble3D val="0"/>
            <c:spPr>
              <a:solidFill>
                <a:srgbClr val="F8CCBA"/>
              </a:solidFill>
              <a:ln w="19050">
                <a:solidFill>
                  <a:schemeClr val="lt1"/>
                </a:solidFill>
              </a:ln>
              <a:effectLst/>
            </c:spPr>
            <c:extLst>
              <c:ext xmlns:c16="http://schemas.microsoft.com/office/drawing/2014/chart" uri="{C3380CC4-5D6E-409C-BE32-E72D297353CC}">
                <c16:uniqueId val="{00000005-E025-4DFD-A095-09343397C6DE}"/>
              </c:ext>
            </c:extLst>
          </c:dPt>
          <c:dPt>
            <c:idx val="3"/>
            <c:bubble3D val="0"/>
            <c:spPr>
              <a:solidFill>
                <a:srgbClr val="FFA7A7"/>
              </a:solidFill>
              <a:ln w="19050">
                <a:solidFill>
                  <a:schemeClr val="lt1"/>
                </a:solidFill>
              </a:ln>
              <a:effectLst/>
            </c:spPr>
            <c:extLst>
              <c:ext xmlns:c16="http://schemas.microsoft.com/office/drawing/2014/chart" uri="{C3380CC4-5D6E-409C-BE32-E72D297353CC}">
                <c16:uniqueId val="{00000007-E025-4DFD-A095-09343397C6DE}"/>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E025-4DFD-A095-09343397C6DE}"/>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'ICO Overview'!$B$17:$B$21</c:f>
              <c:strCache>
                <c:ptCount val="5"/>
                <c:pt idx="0">
                  <c:v>Token Sale</c:v>
                </c:pt>
                <c:pt idx="1">
                  <c:v>Referral Program</c:v>
                </c:pt>
                <c:pt idx="2">
                  <c:v>Management &amp; Team</c:v>
                </c:pt>
                <c:pt idx="3">
                  <c:v>Option Pool &amp; M&amp;A Reserve</c:v>
                </c:pt>
                <c:pt idx="4">
                  <c:v>Legal &amp; Advisory</c:v>
                </c:pt>
              </c:strCache>
            </c:strRef>
          </c:cat>
          <c:val>
            <c:numRef>
              <c:f>'ICO Overview'!$C$17:$C$21</c:f>
              <c:numCache>
                <c:formatCode>0%</c:formatCode>
                <c:ptCount val="5"/>
                <c:pt idx="0">
                  <c:v>0.55000000000000004</c:v>
                </c:pt>
                <c:pt idx="1">
                  <c:v>0.05</c:v>
                </c:pt>
                <c:pt idx="2" formatCode="0.0%">
                  <c:v>0.17499999999999999</c:v>
                </c:pt>
                <c:pt idx="3">
                  <c:v>0.1</c:v>
                </c:pt>
                <c:pt idx="4" formatCode="0.0%">
                  <c:v>0.125</c:v>
                </c:pt>
              </c:numCache>
            </c:numRef>
          </c:val>
          <c:extLst>
            <c:ext xmlns:c16="http://schemas.microsoft.com/office/drawing/2014/chart" uri="{C3380CC4-5D6E-409C-BE32-E72D297353CC}">
              <c16:uniqueId val="{00000001-CCB7-4D44-B490-A78FD22DBB4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'ICO Overview'!$B$23</c:f>
              <c:strCache>
                <c:ptCount val="1"/>
                <c:pt idx="0">
                  <c:v>Usage of Proceeds</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D0EF-42EA-B1DE-18BF16F0F1B6}"/>
              </c:ext>
            </c:extLst>
          </c:dPt>
          <c:dPt>
            <c:idx val="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3-D0EF-42EA-B1DE-18BF16F0F1B6}"/>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D0EF-42EA-B1DE-18BF16F0F1B6}"/>
              </c:ext>
            </c:extLst>
          </c:dPt>
          <c:dPt>
            <c:idx val="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7-D0EF-42EA-B1DE-18BF16F0F1B6}"/>
              </c:ext>
            </c:extLst>
          </c:dPt>
          <c:dPt>
            <c:idx val="4"/>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9-D0EF-42EA-B1DE-18BF16F0F1B6}"/>
              </c:ext>
            </c:extLst>
          </c:dPt>
          <c:dPt>
            <c:idx val="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B-D0EF-42EA-B1DE-18BF16F0F1B6}"/>
              </c:ext>
            </c:extLst>
          </c:dPt>
          <c:dPt>
            <c:idx val="6"/>
            <c:bubble3D val="0"/>
            <c:spPr>
              <a:solidFill>
                <a:schemeClr val="accent4">
                  <a:lumMod val="20000"/>
                  <a:lumOff val="80000"/>
                </a:schemeClr>
              </a:solidFill>
              <a:ln w="19050">
                <a:solidFill>
                  <a:schemeClr val="accent4">
                    <a:lumMod val="20000"/>
                    <a:lumOff val="80000"/>
                  </a:schemeClr>
                </a:solidFill>
              </a:ln>
              <a:effectLst/>
            </c:spPr>
            <c:extLst>
              <c:ext xmlns:c16="http://schemas.microsoft.com/office/drawing/2014/chart" uri="{C3380CC4-5D6E-409C-BE32-E72D297353CC}">
                <c16:uniqueId val="{0000000D-D0EF-42EA-B1DE-18BF16F0F1B6}"/>
              </c:ext>
            </c:extLst>
          </c:dPt>
          <c:dPt>
            <c:idx val="7"/>
            <c:bubble3D val="0"/>
            <c:spPr>
              <a:solidFill>
                <a:srgbClr val="F8CCBA"/>
              </a:solidFill>
              <a:ln w="19050">
                <a:solidFill>
                  <a:schemeClr val="lt1"/>
                </a:solidFill>
              </a:ln>
              <a:effectLst/>
            </c:spPr>
            <c:extLst>
              <c:ext xmlns:c16="http://schemas.microsoft.com/office/drawing/2014/chart" uri="{C3380CC4-5D6E-409C-BE32-E72D297353CC}">
                <c16:uniqueId val="{0000000F-D0EF-42EA-B1DE-18BF16F0F1B6}"/>
              </c:ext>
            </c:extLst>
          </c:dPt>
          <c:dPt>
            <c:idx val="8"/>
            <c:bubble3D val="0"/>
            <c:spPr>
              <a:solidFill>
                <a:srgbClr val="FFA7A7"/>
              </a:solidFill>
              <a:ln w="19050">
                <a:solidFill>
                  <a:schemeClr val="lt1"/>
                </a:solidFill>
              </a:ln>
              <a:effectLst/>
            </c:spPr>
            <c:extLst>
              <c:ext xmlns:c16="http://schemas.microsoft.com/office/drawing/2014/chart" uri="{C3380CC4-5D6E-409C-BE32-E72D297353CC}">
                <c16:uniqueId val="{00000011-D0EF-42EA-B1DE-18BF16F0F1B6}"/>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D0EF-42EA-B1DE-18BF16F0F1B6}"/>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'ICO Overview'!$B$24:$B$33</c:f>
              <c:strCache>
                <c:ptCount val="10"/>
                <c:pt idx="0">
                  <c:v>User acquisition (organic &amp; M&amp;A) / Marketing</c:v>
                </c:pt>
                <c:pt idx="1">
                  <c:v>Salaries &amp; Wages</c:v>
                </c:pt>
                <c:pt idx="2">
                  <c:v>Regulatory licence acquisition</c:v>
                </c:pt>
                <c:pt idx="3">
                  <c:v>Research &amp; Development</c:v>
                </c:pt>
                <c:pt idx="4">
                  <c:v>Bank-grade security &amp; code audit</c:v>
                </c:pt>
                <c:pt idx="5">
                  <c:v>IT team &amp; Infrastructure</c:v>
                </c:pt>
                <c:pt idx="6">
                  <c:v>Lecensing and regulatory compliance</c:v>
                </c:pt>
                <c:pt idx="7">
                  <c:v>External Legal Services</c:v>
                </c:pt>
                <c:pt idx="8">
                  <c:v>Blockchain Engeneering &amp; Testing</c:v>
                </c:pt>
                <c:pt idx="9">
                  <c:v>Other Costs</c:v>
                </c:pt>
              </c:strCache>
            </c:strRef>
          </c:cat>
          <c:val>
            <c:numRef>
              <c:f>'ICO Overview'!$C$24:$C$33</c:f>
              <c:numCache>
                <c:formatCode>0.0%</c:formatCode>
                <c:ptCount val="10"/>
                <c:pt idx="0">
                  <c:v>0.5</c:v>
                </c:pt>
                <c:pt idx="1">
                  <c:v>5.8000000000000003E-2</c:v>
                </c:pt>
                <c:pt idx="2">
                  <c:v>0.04</c:v>
                </c:pt>
                <c:pt idx="3">
                  <c:v>7.0000000000000007E-2</c:v>
                </c:pt>
                <c:pt idx="4">
                  <c:v>8.4000000000000005E-2</c:v>
                </c:pt>
                <c:pt idx="5">
                  <c:v>0.04</c:v>
                </c:pt>
                <c:pt idx="6">
                  <c:v>7.8E-2</c:v>
                </c:pt>
                <c:pt idx="7">
                  <c:v>2.8000000000000001E-2</c:v>
                </c:pt>
                <c:pt idx="8">
                  <c:v>2.9000000000000001E-2</c:v>
                </c:pt>
                <c:pt idx="9">
                  <c:v>7.2999999999999995E-2</c:v>
                </c:pt>
              </c:numCache>
            </c:numRef>
          </c:val>
          <c:extLst>
            <c:ext xmlns:c16="http://schemas.microsoft.com/office/drawing/2014/chart" uri="{C3380CC4-5D6E-409C-BE32-E72D297353CC}">
              <c16:uniqueId val="{00000000-6416-4F37-AE38-4BB7FBD695E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7109768769536576"/>
          <c:y val="0.76173108281037127"/>
          <c:w val="0.80252397092223682"/>
          <c:h val="0.2143925179762339"/>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783633564594737E-2"/>
          <c:y val="7.2323874281744208E-2"/>
          <c:w val="0.9064327328708105"/>
          <c:h val="0.79388739875132164"/>
        </c:manualLayout>
      </c:layout>
      <c:lineChart>
        <c:grouping val="stacked"/>
        <c:varyColors val="0"/>
        <c:ser>
          <c:idx val="0"/>
          <c:order val="0"/>
          <c:tx>
            <c:strRef>
              <c:f>Dashboard!$A$10</c:f>
              <c:strCache>
                <c:ptCount val="1"/>
                <c:pt idx="0">
                  <c:v>Token Price  / Token Holder Advantage Value Ratio</c:v>
                </c:pt>
              </c:strCache>
            </c:strRef>
          </c:tx>
          <c:spPr>
            <a:ln w="12700" cap="rnd">
              <a:solidFill>
                <a:srgbClr val="C00000"/>
              </a:solidFill>
              <a:prstDash val="solid"/>
              <a:round/>
            </a:ln>
            <a:effectLst/>
          </c:spPr>
          <c:marker>
            <c:symbol val="none"/>
          </c:marker>
          <c:dLbls>
            <c:dLbl>
              <c:idx val="0"/>
              <c:layout>
                <c:manualLayout>
                  <c:x val="-6.6512222144537343E-3"/>
                  <c:y val="1.6248401814021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B62-49D4-9EDA-D006415EE86C}"/>
                </c:ext>
              </c:extLst>
            </c:dLbl>
            <c:dLbl>
              <c:idx val="1"/>
              <c:layout>
                <c:manualLayout>
                  <c:x val="-1.6628055536134338E-2"/>
                  <c:y val="5.95774733180771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B62-49D4-9EDA-D006415EE86C}"/>
                </c:ext>
              </c:extLst>
            </c:dLbl>
            <c:dLbl>
              <c:idx val="2"/>
              <c:layout>
                <c:manualLayout>
                  <c:x val="-4.9884166608403127E-2"/>
                  <c:y val="5.95774733180771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B62-49D4-9EDA-D006415EE86C}"/>
                </c:ext>
              </c:extLst>
            </c:dLbl>
            <c:dLbl>
              <c:idx val="3"/>
              <c:layout>
                <c:manualLayout>
                  <c:x val="-5.6535388822856865E-2"/>
                  <c:y val="5.95774733180771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B62-49D4-9EDA-D006415EE86C}"/>
                </c:ext>
              </c:extLst>
            </c:dLbl>
            <c:dLbl>
              <c:idx val="4"/>
              <c:layout>
                <c:manualLayout>
                  <c:x val="-7.3163444358991081E-2"/>
                  <c:y val="3.24968036280419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B62-49D4-9EDA-D006415EE86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Dashboard!$B$5:$F$5</c:f>
              <c:numCache>
                <c:formatCode>General</c:formatCode>
                <c:ptCount val="5"/>
                <c:pt idx="0">
                  <c:v>2018</c:v>
                </c:pt>
                <c:pt idx="1">
                  <c:v>2019</c:v>
                </c:pt>
                <c:pt idx="2">
                  <c:v>2020</c:v>
                </c:pt>
                <c:pt idx="3">
                  <c:v>2021</c:v>
                </c:pt>
                <c:pt idx="4">
                  <c:v>2022</c:v>
                </c:pt>
              </c:numCache>
            </c:numRef>
          </c:cat>
          <c:val>
            <c:numRef>
              <c:f>Dashboard!$B$10:$F$10</c:f>
              <c:numCache>
                <c:formatCode>0.0</c:formatCode>
                <c:ptCount val="5"/>
                <c:pt idx="0">
                  <c:v>117.9773701013084</c:v>
                </c:pt>
                <c:pt idx="1">
                  <c:v>115.68821121227494</c:v>
                </c:pt>
                <c:pt idx="2">
                  <c:v>122.97111273531695</c:v>
                </c:pt>
                <c:pt idx="3">
                  <c:v>106.02536590698182</c:v>
                </c:pt>
                <c:pt idx="4">
                  <c:v>62.920048988601472</c:v>
                </c:pt>
              </c:numCache>
            </c:numRef>
          </c:val>
          <c:smooth val="0"/>
          <c:extLst>
            <c:ext xmlns:c16="http://schemas.microsoft.com/office/drawing/2014/chart" uri="{C3380CC4-5D6E-409C-BE32-E72D297353CC}">
              <c16:uniqueId val="{00000005-9B62-49D4-9EDA-D006415EE86C}"/>
            </c:ext>
          </c:extLst>
        </c:ser>
        <c:dLbls>
          <c:showLegendKey val="0"/>
          <c:showVal val="1"/>
          <c:showCatName val="0"/>
          <c:showSerName val="0"/>
          <c:showPercent val="0"/>
          <c:showBubbleSize val="0"/>
        </c:dLbls>
        <c:smooth val="0"/>
        <c:axId val="249290112"/>
        <c:axId val="249304960"/>
      </c:lineChart>
      <c:catAx>
        <c:axId val="249290112"/>
        <c:scaling>
          <c:orientation val="minMax"/>
        </c:scaling>
        <c:delete val="0"/>
        <c:axPos val="b"/>
        <c:numFmt formatCode="General" sourceLinked="0"/>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249304960"/>
        <c:crosses val="autoZero"/>
        <c:auto val="1"/>
        <c:lblAlgn val="ctr"/>
        <c:lblOffset val="100"/>
        <c:noMultiLvlLbl val="0"/>
      </c:catAx>
      <c:valAx>
        <c:axId val="249304960"/>
        <c:scaling>
          <c:orientation val="minMax"/>
        </c:scaling>
        <c:delete val="0"/>
        <c:axPos val="l"/>
        <c:numFmt formatCode="_-* #,##0\ _€_-;\-* #,##0\ _€_-;_-* &quot;-&quot;??\ _€_-;_-@_-"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249290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2">
          <a:lumMod val="90000"/>
        </a:schemeClr>
      </a:solidFill>
      <a:prstDash val="dash"/>
      <a:round/>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783633564594737E-2"/>
          <c:y val="7.2323874281744208E-2"/>
          <c:w val="0.9064327328708105"/>
          <c:h val="0.79388739875132164"/>
        </c:manualLayout>
      </c:layout>
      <c:lineChart>
        <c:grouping val="stacked"/>
        <c:varyColors val="0"/>
        <c:ser>
          <c:idx val="0"/>
          <c:order val="0"/>
          <c:tx>
            <c:strRef>
              <c:f>Dashboard!$A$9</c:f>
              <c:strCache>
                <c:ptCount val="1"/>
                <c:pt idx="0">
                  <c:v>Monetary advantage per 1 token </c:v>
                </c:pt>
              </c:strCache>
            </c:strRef>
          </c:tx>
          <c:spPr>
            <a:ln w="12700" cap="rnd">
              <a:solidFill>
                <a:srgbClr val="C00000"/>
              </a:solidFill>
              <a:round/>
            </a:ln>
            <a:effectLst/>
          </c:spPr>
          <c:marker>
            <c:symbol val="none"/>
          </c:marker>
          <c:dLbls>
            <c:dLbl>
              <c:idx val="0"/>
              <c:layout>
                <c:manualLayout>
                  <c:x val="-1.6628055536134338E-2"/>
                  <c:y val="4.33290715040561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6A0-4413-9DCC-C29C47DDCECB}"/>
                </c:ext>
              </c:extLst>
            </c:dLbl>
            <c:dLbl>
              <c:idx val="1"/>
              <c:layout>
                <c:manualLayout>
                  <c:x val="-9.9768333216806015E-3"/>
                  <c:y val="3.79129375660490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A0-4413-9DCC-C29C47DDCECB}"/>
                </c:ext>
              </c:extLst>
            </c:dLbl>
            <c:dLbl>
              <c:idx val="2"/>
              <c:layout>
                <c:manualLayout>
                  <c:x val="-6.6512222144538566E-3"/>
                  <c:y val="2.16645357520280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6A0-4413-9DCC-C29C47DDCECB}"/>
                </c:ext>
              </c:extLst>
            </c:dLbl>
            <c:dLbl>
              <c:idx val="4"/>
              <c:layout>
                <c:manualLayout>
                  <c:x val="0"/>
                  <c:y val="2.70806696900350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6A0-4413-9DCC-C29C47DDCECB}"/>
                </c:ext>
              </c:extLst>
            </c:dLbl>
            <c:numFmt formatCode="&quot;$&quot;#,##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Dashboard!$B$5:$F$5</c:f>
              <c:numCache>
                <c:formatCode>General</c:formatCode>
                <c:ptCount val="5"/>
                <c:pt idx="0">
                  <c:v>2018</c:v>
                </c:pt>
                <c:pt idx="1">
                  <c:v>2019</c:v>
                </c:pt>
                <c:pt idx="2">
                  <c:v>2020</c:v>
                </c:pt>
                <c:pt idx="3">
                  <c:v>2021</c:v>
                </c:pt>
                <c:pt idx="4">
                  <c:v>2022</c:v>
                </c:pt>
              </c:numCache>
            </c:numRef>
          </c:cat>
          <c:val>
            <c:numRef>
              <c:f>Dashboard!$B$9:$F$9</c:f>
              <c:numCache>
                <c:formatCode>[$$-409]#,##0.00</c:formatCode>
                <c:ptCount val="5"/>
                <c:pt idx="0">
                  <c:v>1.7921704954582604E-2</c:v>
                </c:pt>
                <c:pt idx="1">
                  <c:v>2.508590801350661E-2</c:v>
                </c:pt>
                <c:pt idx="2">
                  <c:v>2.8379098747538047E-2</c:v>
                </c:pt>
                <c:pt idx="3">
                  <c:v>4.2905100395120938E-2</c:v>
                </c:pt>
                <c:pt idx="4">
                  <c:v>0.10937421364294861</c:v>
                </c:pt>
              </c:numCache>
            </c:numRef>
          </c:val>
          <c:smooth val="0"/>
          <c:extLst>
            <c:ext xmlns:c16="http://schemas.microsoft.com/office/drawing/2014/chart" uri="{C3380CC4-5D6E-409C-BE32-E72D297353CC}">
              <c16:uniqueId val="{00000005-96A0-4413-9DCC-C29C47DDCECB}"/>
            </c:ext>
          </c:extLst>
        </c:ser>
        <c:dLbls>
          <c:showLegendKey val="0"/>
          <c:showVal val="1"/>
          <c:showCatName val="0"/>
          <c:showSerName val="0"/>
          <c:showPercent val="0"/>
          <c:showBubbleSize val="0"/>
        </c:dLbls>
        <c:smooth val="0"/>
        <c:axId val="249290112"/>
        <c:axId val="249304960"/>
      </c:lineChart>
      <c:catAx>
        <c:axId val="249290112"/>
        <c:scaling>
          <c:orientation val="minMax"/>
        </c:scaling>
        <c:delete val="0"/>
        <c:axPos val="b"/>
        <c:numFmt formatCode="General" sourceLinked="0"/>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249304960"/>
        <c:crosses val="autoZero"/>
        <c:auto val="1"/>
        <c:lblAlgn val="ctr"/>
        <c:lblOffset val="100"/>
        <c:noMultiLvlLbl val="0"/>
      </c:catAx>
      <c:valAx>
        <c:axId val="249304960"/>
        <c:scaling>
          <c:orientation val="minMax"/>
        </c:scaling>
        <c:delete val="0"/>
        <c:axPos val="l"/>
        <c:numFmt formatCode="&quot;$&quot;#,##0.0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249290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2">
          <a:lumMod val="90000"/>
        </a:schemeClr>
      </a:solidFill>
      <a:prstDash val="dash"/>
      <a:round/>
    </a:ln>
    <a:effectLst/>
  </c:spPr>
  <c:txPr>
    <a:bodyPr/>
    <a:lstStyle/>
    <a:p>
      <a:pPr>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783633564594737E-2"/>
          <c:y val="7.2323874281744208E-2"/>
          <c:w val="0.9064327328708105"/>
          <c:h val="0.79388739875132164"/>
        </c:manualLayout>
      </c:layout>
      <c:lineChart>
        <c:grouping val="stacked"/>
        <c:varyColors val="0"/>
        <c:ser>
          <c:idx val="0"/>
          <c:order val="0"/>
          <c:tx>
            <c:strRef>
              <c:f>Dashboard!$A$6</c:f>
              <c:strCache>
                <c:ptCount val="1"/>
                <c:pt idx="0">
                  <c:v>Active Monthly User Switex (End of Year)</c:v>
                </c:pt>
              </c:strCache>
            </c:strRef>
          </c:tx>
          <c:spPr>
            <a:ln w="28575" cap="rnd">
              <a:solidFill>
                <a:schemeClr val="accent1"/>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Dashboard!$B$5:$F$5</c:f>
              <c:numCache>
                <c:formatCode>General</c:formatCode>
                <c:ptCount val="5"/>
                <c:pt idx="0">
                  <c:v>2018</c:v>
                </c:pt>
                <c:pt idx="1">
                  <c:v>2019</c:v>
                </c:pt>
                <c:pt idx="2">
                  <c:v>2020</c:v>
                </c:pt>
                <c:pt idx="3">
                  <c:v>2021</c:v>
                </c:pt>
                <c:pt idx="4">
                  <c:v>2022</c:v>
                </c:pt>
              </c:numCache>
            </c:numRef>
          </c:cat>
          <c:val>
            <c:numRef>
              <c:f>Dashboard!$B$6:$F$6</c:f>
              <c:numCache>
                <c:formatCode>_-* #,##0\ _€_-;\-* #,##0\ _€_-;_-* "-"??\ _€_-;_-@_-</c:formatCode>
                <c:ptCount val="5"/>
                <c:pt idx="0">
                  <c:v>22418.004164586673</c:v>
                </c:pt>
                <c:pt idx="1">
                  <c:v>96432.008877534739</c:v>
                </c:pt>
                <c:pt idx="2">
                  <c:v>142588.33333333334</c:v>
                </c:pt>
                <c:pt idx="3">
                  <c:v>209127.08333333334</c:v>
                </c:pt>
                <c:pt idx="4">
                  <c:v>823523.13741303608</c:v>
                </c:pt>
              </c:numCache>
            </c:numRef>
          </c:val>
          <c:smooth val="0"/>
          <c:extLst>
            <c:ext xmlns:c16="http://schemas.microsoft.com/office/drawing/2014/chart" uri="{C3380CC4-5D6E-409C-BE32-E72D297353CC}">
              <c16:uniqueId val="{00000005-4980-4060-84E5-7D62FA6F8233}"/>
            </c:ext>
          </c:extLst>
        </c:ser>
        <c:dLbls>
          <c:showLegendKey val="0"/>
          <c:showVal val="1"/>
          <c:showCatName val="0"/>
          <c:showSerName val="0"/>
          <c:showPercent val="0"/>
          <c:showBubbleSize val="0"/>
        </c:dLbls>
        <c:smooth val="0"/>
        <c:axId val="249290112"/>
        <c:axId val="249304960"/>
      </c:lineChart>
      <c:catAx>
        <c:axId val="249290112"/>
        <c:scaling>
          <c:orientation val="minMax"/>
        </c:scaling>
        <c:delete val="0"/>
        <c:axPos val="b"/>
        <c:numFmt formatCode="General" sourceLinked="0"/>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249304960"/>
        <c:crosses val="autoZero"/>
        <c:auto val="1"/>
        <c:lblAlgn val="ctr"/>
        <c:lblOffset val="100"/>
        <c:noMultiLvlLbl val="0"/>
      </c:catAx>
      <c:valAx>
        <c:axId val="249304960"/>
        <c:scaling>
          <c:orientation val="minMax"/>
        </c:scaling>
        <c:delete val="0"/>
        <c:axPos val="l"/>
        <c:numFmt formatCode="_-* #,##0\ _€_-;\-* #,##0\ _€_-;_-* &quot;-&quot;??\ _€_-;_-@_-"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249290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2">
          <a:lumMod val="90000"/>
        </a:schemeClr>
      </a:solidFill>
      <a:prstDash val="dash"/>
      <a:round/>
    </a:ln>
    <a:effectLst/>
  </c:spPr>
  <c:txPr>
    <a:bodyPr/>
    <a:lstStyle/>
    <a:p>
      <a:pPr>
        <a:defRPr/>
      </a:pPr>
      <a:endParaRPr lang="de-D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783633564594737E-2"/>
          <c:y val="7.2323874281744208E-2"/>
          <c:w val="0.9064327328708105"/>
          <c:h val="0.79388739875132164"/>
        </c:manualLayout>
      </c:layout>
      <c:lineChart>
        <c:grouping val="stacked"/>
        <c:varyColors val="0"/>
        <c:ser>
          <c:idx val="0"/>
          <c:order val="0"/>
          <c:tx>
            <c:strRef>
              <c:f>Dashboard!$A$7</c:f>
              <c:strCache>
                <c:ptCount val="1"/>
                <c:pt idx="0">
                  <c:v>Active Monthly User SwipeStox (End of Year)</c:v>
                </c:pt>
              </c:strCache>
            </c:strRef>
          </c:tx>
          <c:spPr>
            <a:ln w="28575" cap="rnd">
              <a:solidFill>
                <a:schemeClr val="accent1"/>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Dashboard!$B$5:$F$5</c:f>
              <c:numCache>
                <c:formatCode>General</c:formatCode>
                <c:ptCount val="5"/>
                <c:pt idx="0">
                  <c:v>2018</c:v>
                </c:pt>
                <c:pt idx="1">
                  <c:v>2019</c:v>
                </c:pt>
                <c:pt idx="2">
                  <c:v>2020</c:v>
                </c:pt>
                <c:pt idx="3">
                  <c:v>2021</c:v>
                </c:pt>
                <c:pt idx="4">
                  <c:v>2022</c:v>
                </c:pt>
              </c:numCache>
            </c:numRef>
          </c:cat>
          <c:val>
            <c:numRef>
              <c:f>Dashboard!$B$7:$F$7</c:f>
              <c:numCache>
                <c:formatCode>_-* #,##0\ _€_-;\-* #,##0\ _€_-;_-* "-"??\ _€_-;_-@_-</c:formatCode>
                <c:ptCount val="5"/>
                <c:pt idx="0">
                  <c:v>4458.4331367188206</c:v>
                </c:pt>
                <c:pt idx="1">
                  <c:v>5633.7146346973013</c:v>
                </c:pt>
                <c:pt idx="2">
                  <c:v>6317.7873253648258</c:v>
                </c:pt>
                <c:pt idx="3">
                  <c:v>7574.4902593496627</c:v>
                </c:pt>
                <c:pt idx="4">
                  <c:v>9873.3382284761083</c:v>
                </c:pt>
              </c:numCache>
            </c:numRef>
          </c:val>
          <c:smooth val="0"/>
          <c:extLst>
            <c:ext xmlns:c16="http://schemas.microsoft.com/office/drawing/2014/chart" uri="{C3380CC4-5D6E-409C-BE32-E72D297353CC}">
              <c16:uniqueId val="{00000000-42D1-48CB-86CC-8A9E58A6BD33}"/>
            </c:ext>
          </c:extLst>
        </c:ser>
        <c:dLbls>
          <c:showLegendKey val="0"/>
          <c:showVal val="1"/>
          <c:showCatName val="0"/>
          <c:showSerName val="0"/>
          <c:showPercent val="0"/>
          <c:showBubbleSize val="0"/>
        </c:dLbls>
        <c:smooth val="0"/>
        <c:axId val="249290112"/>
        <c:axId val="249304960"/>
      </c:lineChart>
      <c:catAx>
        <c:axId val="249290112"/>
        <c:scaling>
          <c:orientation val="minMax"/>
        </c:scaling>
        <c:delete val="0"/>
        <c:axPos val="b"/>
        <c:numFmt formatCode="General" sourceLinked="0"/>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249304960"/>
        <c:crosses val="autoZero"/>
        <c:auto val="1"/>
        <c:lblAlgn val="ctr"/>
        <c:lblOffset val="100"/>
        <c:noMultiLvlLbl val="0"/>
      </c:catAx>
      <c:valAx>
        <c:axId val="249304960"/>
        <c:scaling>
          <c:orientation val="minMax"/>
        </c:scaling>
        <c:delete val="0"/>
        <c:axPos val="l"/>
        <c:numFmt formatCode="_-* #,##0\ _€_-;\-* #,##0\ _€_-;_-* &quot;-&quot;??\ _€_-;_-@_-"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249290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2">
          <a:lumMod val="90000"/>
        </a:schemeClr>
      </a:solidFill>
      <a:prstDash val="dash"/>
      <a:round/>
    </a:ln>
    <a:effectLst/>
  </c:spPr>
  <c:txPr>
    <a:bodyPr/>
    <a:lstStyle/>
    <a:p>
      <a:pPr>
        <a:defRPr/>
      </a:pPr>
      <a:endParaRPr lang="de-D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783633564594737E-2"/>
          <c:y val="7.2323874281744208E-2"/>
          <c:w val="0.9064327328708105"/>
          <c:h val="0.79388739875132164"/>
        </c:manualLayout>
      </c:layout>
      <c:lineChart>
        <c:grouping val="stacked"/>
        <c:varyColors val="0"/>
        <c:ser>
          <c:idx val="0"/>
          <c:order val="0"/>
          <c:tx>
            <c:strRef>
              <c:f>Dashboard!$A$8</c:f>
              <c:strCache>
                <c:ptCount val="1"/>
                <c:pt idx="0">
                  <c:v>Price per token</c:v>
                </c:pt>
              </c:strCache>
            </c:strRef>
          </c:tx>
          <c:spPr>
            <a:ln w="12700" cap="rnd">
              <a:solidFill>
                <a:srgbClr val="7A0000"/>
              </a:solidFill>
              <a:prstDash val="dash"/>
              <a:round/>
            </a:ln>
            <a:effectLst/>
          </c:spPr>
          <c:marker>
            <c:symbol val="none"/>
          </c:marker>
          <c:dLbls>
            <c:dLbl>
              <c:idx val="0"/>
              <c:layout>
                <c:manualLayout>
                  <c:x val="3.3256111072268672E-3"/>
                  <c:y val="1.6248401814021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A66-4A97-9C55-52D8DB7C586D}"/>
                </c:ext>
              </c:extLst>
            </c:dLbl>
            <c:dLbl>
              <c:idx val="1"/>
              <c:layout>
                <c:manualLayout>
                  <c:x val="9.9768333216805408E-3"/>
                  <c:y val="2.70806696900350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66-4A97-9C55-52D8DB7C586D}"/>
                </c:ext>
              </c:extLst>
            </c:dLbl>
            <c:dLbl>
              <c:idx val="2"/>
              <c:layout>
                <c:manualLayout>
                  <c:x val="6.651222214453612E-3"/>
                  <c:y val="1.6248401814021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A66-4A97-9C55-52D8DB7C586D}"/>
                </c:ext>
              </c:extLst>
            </c:dLbl>
            <c:dLbl>
              <c:idx val="3"/>
              <c:layout>
                <c:manualLayout>
                  <c:x val="6.651222214453612E-3"/>
                  <c:y val="1.6248401814021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66-4A97-9C55-52D8DB7C586D}"/>
                </c:ext>
              </c:extLst>
            </c:dLbl>
            <c:dLbl>
              <c:idx val="4"/>
              <c:layout>
                <c:manualLayout>
                  <c:x val="-3.3256111072267453E-3"/>
                  <c:y val="1.6248401814021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A66-4A97-9C55-52D8DB7C586D}"/>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Dashboard!$B$5:$F$5</c:f>
              <c:numCache>
                <c:formatCode>General</c:formatCode>
                <c:ptCount val="5"/>
                <c:pt idx="0">
                  <c:v>2018</c:v>
                </c:pt>
                <c:pt idx="1">
                  <c:v>2019</c:v>
                </c:pt>
                <c:pt idx="2">
                  <c:v>2020</c:v>
                </c:pt>
                <c:pt idx="3">
                  <c:v>2021</c:v>
                </c:pt>
                <c:pt idx="4">
                  <c:v>2022</c:v>
                </c:pt>
              </c:numCache>
            </c:numRef>
          </c:cat>
          <c:val>
            <c:numRef>
              <c:f>Dashboard!$B$8:$F$8</c:f>
              <c:numCache>
                <c:formatCode>[$$-409]#,##0.00</c:formatCode>
                <c:ptCount val="5"/>
                <c:pt idx="0">
                  <c:v>2.1143556182732444</c:v>
                </c:pt>
                <c:pt idx="1">
                  <c:v>2.9021438247182529</c:v>
                </c:pt>
                <c:pt idx="2">
                  <c:v>3.4898093514101931</c:v>
                </c:pt>
                <c:pt idx="3">
                  <c:v>4.5490289686684875</c:v>
                </c:pt>
                <c:pt idx="4">
                  <c:v>6.88183088050409</c:v>
                </c:pt>
              </c:numCache>
            </c:numRef>
          </c:val>
          <c:smooth val="0"/>
          <c:extLst>
            <c:ext xmlns:c16="http://schemas.microsoft.com/office/drawing/2014/chart" uri="{C3380CC4-5D6E-409C-BE32-E72D297353CC}">
              <c16:uniqueId val="{00000005-6A66-4A97-9C55-52D8DB7C586D}"/>
            </c:ext>
          </c:extLst>
        </c:ser>
        <c:dLbls>
          <c:showLegendKey val="0"/>
          <c:showVal val="1"/>
          <c:showCatName val="0"/>
          <c:showSerName val="0"/>
          <c:showPercent val="0"/>
          <c:showBubbleSize val="0"/>
        </c:dLbls>
        <c:smooth val="0"/>
        <c:axId val="249290112"/>
        <c:axId val="249304960"/>
      </c:lineChart>
      <c:catAx>
        <c:axId val="249290112"/>
        <c:scaling>
          <c:orientation val="minMax"/>
        </c:scaling>
        <c:delete val="0"/>
        <c:axPos val="b"/>
        <c:numFmt formatCode="General" sourceLinked="0"/>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249304960"/>
        <c:crosses val="autoZero"/>
        <c:auto val="1"/>
        <c:lblAlgn val="ctr"/>
        <c:lblOffset val="100"/>
        <c:noMultiLvlLbl val="0"/>
      </c:catAx>
      <c:valAx>
        <c:axId val="249304960"/>
        <c:scaling>
          <c:orientation val="minMax"/>
        </c:scaling>
        <c:delete val="0"/>
        <c:axPos val="l"/>
        <c:numFmt formatCode="_-* #,##0\ _€_-;\-* #,##0\ _€_-;_-* &quot;-&quot;??\ _€_-;_-@_-"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249290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2">
          <a:lumMod val="90000"/>
        </a:schemeClr>
      </a:solidFill>
      <a:prstDash val="dash"/>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725117306919146E-2"/>
          <c:y val="1.8604082802832156E-2"/>
          <c:w val="0.9064327328708105"/>
          <c:h val="0.79388739875132164"/>
        </c:manualLayout>
      </c:layout>
      <c:barChart>
        <c:barDir val="col"/>
        <c:grouping val="clustered"/>
        <c:varyColors val="0"/>
        <c:ser>
          <c:idx val="0"/>
          <c:order val="0"/>
          <c:tx>
            <c:strRef>
              <c:f>Dashboard!$A$11</c:f>
              <c:strCache>
                <c:ptCount val="1"/>
                <c:pt idx="0">
                  <c:v>Total demand Tokens</c:v>
                </c:pt>
              </c:strCache>
            </c:strRef>
          </c:tx>
          <c:spPr>
            <a:solidFill>
              <a:schemeClr val="accent2"/>
            </a:solidFill>
            <a:ln>
              <a:noFill/>
            </a:ln>
            <a:effectLst/>
          </c:spPr>
          <c:invertIfNegative val="0"/>
          <c:dLbls>
            <c:dLbl>
              <c:idx val="0"/>
              <c:layout>
                <c:manualLayout>
                  <c:x val="-7.163451057412804E-3"/>
                  <c:y val="1.218218086648600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C95-4687-98F5-99A5BDFBE4EC}"/>
                </c:ext>
              </c:extLst>
            </c:dLbl>
            <c:dLbl>
              <c:idx val="1"/>
              <c:layout>
                <c:manualLayout>
                  <c:x val="0"/>
                  <c:y val="1.831917797098311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C95-4687-98F5-99A5BDFBE4EC}"/>
                </c:ext>
              </c:extLst>
            </c:dLbl>
            <c:dLbl>
              <c:idx val="2"/>
              <c:layout>
                <c:manualLayout>
                  <c:x val="-6.5664209467732914E-17"/>
                  <c:y val="1.218218086648600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C95-4687-98F5-99A5BDFBE4EC}"/>
                </c:ext>
              </c:extLst>
            </c:dLbl>
            <c:dLbl>
              <c:idx val="3"/>
              <c:layout>
                <c:manualLayout>
                  <c:x val="-1.3132841893546583E-16"/>
                  <c:y val="1.218218086648600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C95-4687-98F5-99A5BDFBE4EC}"/>
                </c:ext>
              </c:extLst>
            </c:dLbl>
            <c:dLbl>
              <c:idx val="4"/>
              <c:layout>
                <c:manualLayout>
                  <c:x val="-1.3132841893546583E-16"/>
                  <c:y val="-9.1813342508242129E-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C95-4687-98F5-99A5BDFBE4EC}"/>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Dashboard!$B$5:$F$5</c:f>
              <c:numCache>
                <c:formatCode>General</c:formatCode>
                <c:ptCount val="5"/>
                <c:pt idx="0">
                  <c:v>2018</c:v>
                </c:pt>
                <c:pt idx="1">
                  <c:v>2019</c:v>
                </c:pt>
                <c:pt idx="2">
                  <c:v>2020</c:v>
                </c:pt>
                <c:pt idx="3">
                  <c:v>2021</c:v>
                </c:pt>
                <c:pt idx="4">
                  <c:v>2022</c:v>
                </c:pt>
              </c:numCache>
            </c:numRef>
          </c:cat>
          <c:val>
            <c:numRef>
              <c:f>Dashboard!$B$11:$F$11</c:f>
              <c:numCache>
                <c:formatCode>_-* #,##0\ _€_-;\-* #,##0\ _€_-;_-* "-"??\ _€_-;_-@_-</c:formatCode>
                <c:ptCount val="5"/>
                <c:pt idx="0">
                  <c:v>31715334.274098668</c:v>
                </c:pt>
                <c:pt idx="1">
                  <c:v>43532157.370773792</c:v>
                </c:pt>
                <c:pt idx="2">
                  <c:v>52347140.271152899</c:v>
                </c:pt>
                <c:pt idx="3">
                  <c:v>68235434.530027315</c:v>
                </c:pt>
                <c:pt idx="4">
                  <c:v>103227463.20756134</c:v>
                </c:pt>
              </c:numCache>
            </c:numRef>
          </c:val>
          <c:extLst>
            <c:ext xmlns:c16="http://schemas.microsoft.com/office/drawing/2014/chart" uri="{C3380CC4-5D6E-409C-BE32-E72D297353CC}">
              <c16:uniqueId val="{00000005-DC95-4687-98F5-99A5BDFBE4EC}"/>
            </c:ext>
          </c:extLst>
        </c:ser>
        <c:ser>
          <c:idx val="1"/>
          <c:order val="1"/>
          <c:tx>
            <c:strRef>
              <c:f>Dashboard!$A$12</c:f>
              <c:strCache>
                <c:ptCount val="1"/>
                <c:pt idx="0">
                  <c:v>Total supply Tokens</c:v>
                </c:pt>
              </c:strCache>
            </c:strRef>
          </c:tx>
          <c:spPr>
            <a:solidFill>
              <a:srgbClr val="C00000"/>
            </a:solidFill>
            <a:ln>
              <a:noFill/>
            </a:ln>
            <a:effectLst/>
          </c:spPr>
          <c:invertIfNegative val="0"/>
          <c:dLbls>
            <c:dLbl>
              <c:idx val="0"/>
              <c:layout>
                <c:manualLayout>
                  <c:x val="7.1634510574127711E-3"/>
                  <c:y val="1.197245986307248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C95-4687-98F5-99A5BDFBE4EC}"/>
                </c:ext>
              </c:extLst>
            </c:dLbl>
            <c:dLbl>
              <c:idx val="1"/>
              <c:layout>
                <c:manualLayout>
                  <c:x val="6.6512222144537343E-3"/>
                  <c:y val="1.197264127366999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C95-4687-98F5-99A5BDFBE4EC}"/>
                </c:ext>
              </c:extLst>
            </c:dLbl>
            <c:dLbl>
              <c:idx val="2"/>
              <c:layout>
                <c:manualLayout>
                  <c:x val="9.9768333216806015E-3"/>
                  <c:y val="1.34141005422105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C95-4687-98F5-99A5BDFBE4EC}"/>
                </c:ext>
              </c:extLst>
            </c:dLbl>
            <c:dLbl>
              <c:idx val="3"/>
              <c:layout>
                <c:manualLayout>
                  <c:x val="1.3558542670078168E-2"/>
                  <c:y val="1.34141005422105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C95-4687-98F5-99A5BDFBE4EC}"/>
                </c:ext>
              </c:extLst>
            </c:dLbl>
            <c:dLbl>
              <c:idx val="4"/>
              <c:layout>
                <c:manualLayout>
                  <c:x val="1.3302444428907469E-2"/>
                  <c:y val="1.810950484594733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C95-4687-98F5-99A5BDFBE4EC}"/>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Dashboard!$B$5:$F$5</c:f>
              <c:numCache>
                <c:formatCode>General</c:formatCode>
                <c:ptCount val="5"/>
                <c:pt idx="0">
                  <c:v>2018</c:v>
                </c:pt>
                <c:pt idx="1">
                  <c:v>2019</c:v>
                </c:pt>
                <c:pt idx="2">
                  <c:v>2020</c:v>
                </c:pt>
                <c:pt idx="3">
                  <c:v>2021</c:v>
                </c:pt>
                <c:pt idx="4">
                  <c:v>2022</c:v>
                </c:pt>
              </c:numCache>
            </c:numRef>
          </c:cat>
          <c:val>
            <c:numRef>
              <c:f>Dashboard!$B$12:$F$12</c:f>
              <c:numCache>
                <c:formatCode>_-* #,##0\ _€_-;\-* #,##0\ _€_-;_-* "-"??\ _€_-;_-@_-</c:formatCode>
                <c:ptCount val="5"/>
                <c:pt idx="0">
                  <c:v>15000000</c:v>
                </c:pt>
                <c:pt idx="1">
                  <c:v>15000000</c:v>
                </c:pt>
                <c:pt idx="2">
                  <c:v>15000000</c:v>
                </c:pt>
                <c:pt idx="3">
                  <c:v>15000000</c:v>
                </c:pt>
                <c:pt idx="4">
                  <c:v>15000000</c:v>
                </c:pt>
              </c:numCache>
            </c:numRef>
          </c:val>
          <c:extLst>
            <c:ext xmlns:c16="http://schemas.microsoft.com/office/drawing/2014/chart" uri="{C3380CC4-5D6E-409C-BE32-E72D297353CC}">
              <c16:uniqueId val="{0000000B-DC95-4687-98F5-99A5BDFBE4EC}"/>
            </c:ext>
          </c:extLst>
        </c:ser>
        <c:dLbls>
          <c:dLblPos val="inEnd"/>
          <c:showLegendKey val="0"/>
          <c:showVal val="1"/>
          <c:showCatName val="0"/>
          <c:showSerName val="0"/>
          <c:showPercent val="0"/>
          <c:showBubbleSize val="0"/>
        </c:dLbls>
        <c:gapWidth val="219"/>
        <c:overlap val="-27"/>
        <c:axId val="249290112"/>
        <c:axId val="249304960"/>
      </c:barChart>
      <c:catAx>
        <c:axId val="249290112"/>
        <c:scaling>
          <c:orientation val="minMax"/>
        </c:scaling>
        <c:delete val="0"/>
        <c:axPos val="b"/>
        <c:numFmt formatCode="General" sourceLinked="0"/>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249304960"/>
        <c:crosses val="autoZero"/>
        <c:auto val="1"/>
        <c:lblAlgn val="ctr"/>
        <c:lblOffset val="100"/>
        <c:noMultiLvlLbl val="0"/>
      </c:catAx>
      <c:valAx>
        <c:axId val="249304960"/>
        <c:scaling>
          <c:orientation val="minMax"/>
        </c:scaling>
        <c:delete val="0"/>
        <c:axPos val="l"/>
        <c:numFmt formatCode="_-* #,##0\ _€_-;\-* #,##0\ _€_-;_-* &quot;-&quot;??\ _€_-;_-@_-"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24929011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dispUnitsLbl>
        </c:dispUnits>
      </c:valAx>
      <c:spPr>
        <a:noFill/>
        <a:ln>
          <a:noFill/>
        </a:ln>
        <a:effectLst/>
      </c:spPr>
    </c:plotArea>
    <c:legend>
      <c:legendPos val="r"/>
      <c:layout>
        <c:manualLayout>
          <c:xMode val="edge"/>
          <c:yMode val="edge"/>
          <c:x val="9.9106788387009495E-2"/>
          <c:y val="0.25060309681640669"/>
          <c:w val="0.21273672091006227"/>
          <c:h val="0.10280540156006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bg2">
          <a:lumMod val="90000"/>
        </a:schemeClr>
      </a:solidFill>
      <a:prstDash val="dash"/>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6" fmlaLink="$B$17" horiz="1" max="220" page="10" val="30"/>
</file>

<file path=xl/ctrlProps/ctrlProp10.xml><?xml version="1.0" encoding="utf-8"?>
<formControlPr xmlns="http://schemas.microsoft.com/office/spreadsheetml/2009/9/main" objectType="Scroll" dx="26" fmlaLink="$B$30" horiz="1" max="25" min="1" page="0" val="12"/>
</file>

<file path=xl/ctrlProps/ctrlProp11.xml><?xml version="1.0" encoding="utf-8"?>
<formControlPr xmlns="http://schemas.microsoft.com/office/spreadsheetml/2009/9/main" objectType="Scroll" dx="26" fmlaLink="$B$31" horiz="1" max="50" min="1" page="0" val="10"/>
</file>

<file path=xl/ctrlProps/ctrlProp12.xml><?xml version="1.0" encoding="utf-8"?>
<formControlPr xmlns="http://schemas.microsoft.com/office/spreadsheetml/2009/9/main" objectType="Scroll" dx="26" fmlaLink="$B$32" horiz="1" max="100" min="1" page="0" val="40"/>
</file>

<file path=xl/ctrlProps/ctrlProp2.xml><?xml version="1.0" encoding="utf-8"?>
<formControlPr xmlns="http://schemas.microsoft.com/office/spreadsheetml/2009/9/main" objectType="Scroll" dx="26" fmlaLink="$C$19" horiz="1" max="100" min="1" page="0" val="15"/>
</file>

<file path=xl/ctrlProps/ctrlProp3.xml><?xml version="1.0" encoding="utf-8"?>
<formControlPr xmlns="http://schemas.microsoft.com/office/spreadsheetml/2009/9/main" objectType="Scroll" dx="26" fmlaLink="$C$20" horiz="1" max="100" min="1" page="0" val="5"/>
</file>

<file path=xl/ctrlProps/ctrlProp4.xml><?xml version="1.0" encoding="utf-8"?>
<formControlPr xmlns="http://schemas.microsoft.com/office/spreadsheetml/2009/9/main" objectType="Scroll" dx="26" fmlaLink="$C$21" horiz="1" max="100" min="1" page="0" val="45"/>
</file>

<file path=xl/ctrlProps/ctrlProp5.xml><?xml version="1.0" encoding="utf-8"?>
<formControlPr xmlns="http://schemas.microsoft.com/office/spreadsheetml/2009/9/main" objectType="Scroll" dx="26" fmlaLink="$B$24" horiz="1" inc="5" max="340" min="1" page="5" val="180"/>
</file>

<file path=xl/ctrlProps/ctrlProp6.xml><?xml version="1.0" encoding="utf-8"?>
<formControlPr xmlns="http://schemas.microsoft.com/office/spreadsheetml/2009/9/main" objectType="Scroll" dx="26" fmlaLink="#REF!" horiz="1" inc="5" max="500" min="1" page="5" val="330"/>
</file>

<file path=xl/ctrlProps/ctrlProp7.xml><?xml version="1.0" encoding="utf-8"?>
<formControlPr xmlns="http://schemas.microsoft.com/office/spreadsheetml/2009/9/main" objectType="Scroll" dx="26" fmlaLink="$B$25" horiz="1" inc="50" max="2500" min="1" page="50" val="1300"/>
</file>

<file path=xl/ctrlProps/ctrlProp8.xml><?xml version="1.0" encoding="utf-8"?>
<formControlPr xmlns="http://schemas.microsoft.com/office/spreadsheetml/2009/9/main" objectType="Scroll" dx="26" fmlaLink="$C$26" horiz="1" max="100" min="1" page="0" val="30"/>
</file>

<file path=xl/ctrlProps/ctrlProp9.xml><?xml version="1.0" encoding="utf-8"?>
<formControlPr xmlns="http://schemas.microsoft.com/office/spreadsheetml/2009/9/main" objectType="Scroll" dx="26" fmlaLink="$C$27" horiz="1" inc="5" max="200" min="1" page="5" val="20"/>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5.xml"/><Relationship Id="rId7"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273421</xdr:colOff>
      <xdr:row>3</xdr:row>
      <xdr:rowOff>0</xdr:rowOff>
    </xdr:from>
    <xdr:to>
      <xdr:col>12</xdr:col>
      <xdr:colOff>582706</xdr:colOff>
      <xdr:row>22</xdr:row>
      <xdr:rowOff>44823</xdr:rowOff>
    </xdr:to>
    <xdr:graphicFrame macro="">
      <xdr:nvGraphicFramePr>
        <xdr:cNvPr id="2" name="Diagramm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0</xdr:row>
      <xdr:rowOff>1</xdr:rowOff>
    </xdr:from>
    <xdr:to>
      <xdr:col>1</xdr:col>
      <xdr:colOff>1120589</xdr:colOff>
      <xdr:row>3</xdr:row>
      <xdr:rowOff>6089</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 y="1"/>
          <a:ext cx="1550894" cy="543970"/>
        </a:xfrm>
        <a:prstGeom prst="rect">
          <a:avLst/>
        </a:prstGeom>
      </xdr:spPr>
    </xdr:pic>
    <xdr:clientData/>
  </xdr:twoCellAnchor>
  <xdr:twoCellAnchor>
    <xdr:from>
      <xdr:col>3</xdr:col>
      <xdr:colOff>282386</xdr:colOff>
      <xdr:row>22</xdr:row>
      <xdr:rowOff>62753</xdr:rowOff>
    </xdr:from>
    <xdr:to>
      <xdr:col>12</xdr:col>
      <xdr:colOff>591671</xdr:colOff>
      <xdr:row>47</xdr:row>
      <xdr:rowOff>116543</xdr:rowOff>
    </xdr:to>
    <xdr:graphicFrame macro="">
      <xdr:nvGraphicFramePr>
        <xdr:cNvPr id="4" name="Diagramm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1219200</xdr:colOff>
      <xdr:row>3</xdr:row>
      <xdr:rowOff>6088</xdr:rowOff>
    </xdr:to>
    <xdr:pic>
      <xdr:nvPicPr>
        <xdr:cNvPr id="2" name="Grafik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1550894" cy="543970"/>
        </a:xfrm>
        <a:prstGeom prst="rect">
          <a:avLst/>
        </a:prstGeom>
      </xdr:spPr>
    </xdr:pic>
    <xdr:clientData/>
  </xdr:twoCellAnchor>
  <xdr:twoCellAnchor editAs="oneCell">
    <xdr:from>
      <xdr:col>1</xdr:col>
      <xdr:colOff>1781175</xdr:colOff>
      <xdr:row>0</xdr:row>
      <xdr:rowOff>0</xdr:rowOff>
    </xdr:from>
    <xdr:to>
      <xdr:col>1</xdr:col>
      <xdr:colOff>2552700</xdr:colOff>
      <xdr:row>2</xdr:row>
      <xdr:rowOff>106576</xdr:rowOff>
    </xdr:to>
    <xdr:pic>
      <xdr:nvPicPr>
        <xdr:cNvPr id="3" name="Grafik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2114550" y="0"/>
          <a:ext cx="771525" cy="4685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373153</xdr:colOff>
      <xdr:row>36</xdr:row>
      <xdr:rowOff>173416</xdr:rowOff>
    </xdr:from>
    <xdr:to>
      <xdr:col>18</xdr:col>
      <xdr:colOff>242471</xdr:colOff>
      <xdr:row>61</xdr:row>
      <xdr:rowOff>0</xdr:rowOff>
    </xdr:to>
    <xdr:graphicFrame macro="">
      <xdr:nvGraphicFramePr>
        <xdr:cNvPr id="11" name="Chart 107">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313464</xdr:colOff>
      <xdr:row>15</xdr:row>
      <xdr:rowOff>50599</xdr:rowOff>
    </xdr:from>
    <xdr:to>
      <xdr:col>18</xdr:col>
      <xdr:colOff>249383</xdr:colOff>
      <xdr:row>34</xdr:row>
      <xdr:rowOff>69273</xdr:rowOff>
    </xdr:to>
    <xdr:graphicFrame macro="">
      <xdr:nvGraphicFramePr>
        <xdr:cNvPr id="12" name="Chart 107">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1515485</xdr:colOff>
      <xdr:row>41</xdr:row>
      <xdr:rowOff>163938</xdr:rowOff>
    </xdr:from>
    <xdr:to>
      <xdr:col>6</xdr:col>
      <xdr:colOff>78180</xdr:colOff>
      <xdr:row>43</xdr:row>
      <xdr:rowOff>280060</xdr:rowOff>
    </xdr:to>
    <xdr:sp macro="" textlink="">
      <xdr:nvSpPr>
        <xdr:cNvPr id="13" name="TextBox 82">
          <a:extLst>
            <a:ext uri="{FF2B5EF4-FFF2-40B4-BE49-F238E27FC236}">
              <a16:creationId xmlns:a16="http://schemas.microsoft.com/office/drawing/2014/main" id="{00000000-0008-0000-0200-00000D000000}"/>
            </a:ext>
          </a:extLst>
        </xdr:cNvPr>
        <xdr:cNvSpPr txBox="1"/>
      </xdr:nvSpPr>
      <xdr:spPr>
        <a:xfrm>
          <a:off x="12225049" y="8379683"/>
          <a:ext cx="2525095" cy="4763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dk1"/>
              </a:solidFill>
              <a:effectLst/>
              <a:latin typeface="+mn-lt"/>
              <a:ea typeface="+mn-ea"/>
              <a:cs typeface="+mn-cs"/>
            </a:rPr>
            <a:t>TOTAL DEMAND</a:t>
          </a:r>
          <a:r>
            <a:rPr lang="en-AU" sz="1100" b="1" baseline="0">
              <a:solidFill>
                <a:schemeClr val="dk1"/>
              </a:solidFill>
              <a:effectLst/>
              <a:latin typeface="+mn-lt"/>
              <a:ea typeface="+mn-ea"/>
              <a:cs typeface="+mn-cs"/>
            </a:rPr>
            <a:t> vs TOTAL SUPPLY</a:t>
          </a:r>
          <a:r>
            <a:rPr lang="en-AU" sz="1100" b="1">
              <a:solidFill>
                <a:schemeClr val="dk1"/>
              </a:solidFill>
              <a:effectLst/>
              <a:latin typeface="+mn-lt"/>
              <a:ea typeface="+mn-ea"/>
              <a:cs typeface="+mn-cs"/>
            </a:rPr>
            <a:t>,</a:t>
          </a:r>
          <a:r>
            <a:rPr lang="en-AU" sz="1100" b="1" baseline="0">
              <a:solidFill>
                <a:schemeClr val="dk1"/>
              </a:solidFill>
              <a:effectLst/>
              <a:latin typeface="+mn-lt"/>
              <a:ea typeface="+mn-ea"/>
              <a:cs typeface="+mn-cs"/>
            </a:rPr>
            <a:t> MLN</a:t>
          </a:r>
        </a:p>
        <a:p>
          <a:endParaRPr lang="en-US">
            <a:effectLst/>
          </a:endParaRPr>
        </a:p>
      </xdr:txBody>
    </xdr:sp>
    <xdr:clientData/>
  </xdr:twoCellAnchor>
  <xdr:twoCellAnchor>
    <xdr:from>
      <xdr:col>12</xdr:col>
      <xdr:colOff>488321</xdr:colOff>
      <xdr:row>37</xdr:row>
      <xdr:rowOff>127006</xdr:rowOff>
    </xdr:from>
    <xdr:to>
      <xdr:col>17</xdr:col>
      <xdr:colOff>47449</xdr:colOff>
      <xdr:row>39</xdr:row>
      <xdr:rowOff>141226</xdr:rowOff>
    </xdr:to>
    <xdr:sp macro="" textlink="">
      <xdr:nvSpPr>
        <xdr:cNvPr id="15" name="TextBox 82">
          <a:extLst>
            <a:ext uri="{FF2B5EF4-FFF2-40B4-BE49-F238E27FC236}">
              <a16:creationId xmlns:a16="http://schemas.microsoft.com/office/drawing/2014/main" id="{00000000-0008-0000-0200-00000F000000}"/>
            </a:ext>
          </a:extLst>
        </xdr:cNvPr>
        <xdr:cNvSpPr txBox="1"/>
      </xdr:nvSpPr>
      <xdr:spPr>
        <a:xfrm>
          <a:off x="18859448" y="7608461"/>
          <a:ext cx="3507674" cy="388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solidFill>
                <a:schemeClr val="dk1"/>
              </a:solidFill>
              <a:effectLst/>
              <a:latin typeface="+mn-lt"/>
              <a:ea typeface="+mn-ea"/>
              <a:cs typeface="+mn-cs"/>
            </a:rPr>
            <a:t>Token Price  / Token Holder Advantage Value Ratio</a:t>
          </a:r>
          <a:r>
            <a:rPr lang="de-DE" b="1"/>
            <a:t> </a:t>
          </a:r>
          <a:endParaRPr lang="en-US" b="1">
            <a:effectLst/>
          </a:endParaRPr>
        </a:p>
      </xdr:txBody>
    </xdr:sp>
    <xdr:clientData/>
  </xdr:twoCellAnchor>
  <xdr:twoCellAnchor>
    <xdr:from>
      <xdr:col>12</xdr:col>
      <xdr:colOff>734473</xdr:colOff>
      <xdr:row>16</xdr:row>
      <xdr:rowOff>41018</xdr:rowOff>
    </xdr:from>
    <xdr:to>
      <xdr:col>16</xdr:col>
      <xdr:colOff>32190</xdr:colOff>
      <xdr:row>17</xdr:row>
      <xdr:rowOff>67268</xdr:rowOff>
    </xdr:to>
    <xdr:sp macro="" textlink="">
      <xdr:nvSpPr>
        <xdr:cNvPr id="16" name="TextBox 82">
          <a:extLst>
            <a:ext uri="{FF2B5EF4-FFF2-40B4-BE49-F238E27FC236}">
              <a16:creationId xmlns:a16="http://schemas.microsoft.com/office/drawing/2014/main" id="{00000000-0008-0000-0200-000010000000}"/>
            </a:ext>
          </a:extLst>
        </xdr:cNvPr>
        <xdr:cNvSpPr txBox="1"/>
      </xdr:nvSpPr>
      <xdr:spPr>
        <a:xfrm>
          <a:off x="19105600" y="3089018"/>
          <a:ext cx="2456554" cy="220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dk1"/>
              </a:solidFill>
              <a:effectLst/>
              <a:latin typeface="+mn-lt"/>
              <a:ea typeface="+mn-ea"/>
              <a:cs typeface="+mn-cs"/>
            </a:rPr>
            <a:t>MONETARY</a:t>
          </a:r>
          <a:r>
            <a:rPr lang="en-AU" sz="1100" b="1" baseline="0">
              <a:solidFill>
                <a:schemeClr val="dk1"/>
              </a:solidFill>
              <a:effectLst/>
              <a:latin typeface="+mn-lt"/>
              <a:ea typeface="+mn-ea"/>
              <a:cs typeface="+mn-cs"/>
            </a:rPr>
            <a:t> ADVANTAGE per TOKEN</a:t>
          </a:r>
          <a:endParaRPr lang="en-US">
            <a:effectLst/>
          </a:endParaRPr>
        </a:p>
      </xdr:txBody>
    </xdr:sp>
    <xdr:clientData/>
  </xdr:twoCellAnchor>
  <mc:AlternateContent xmlns:mc="http://schemas.openxmlformats.org/markup-compatibility/2006">
    <mc:Choice xmlns:a14="http://schemas.microsoft.com/office/drawing/2010/main" Requires="a14">
      <xdr:twoCellAnchor editAs="oneCell">
        <xdr:from>
          <xdr:col>2</xdr:col>
          <xdr:colOff>373380</xdr:colOff>
          <xdr:row>16</xdr:row>
          <xdr:rowOff>0</xdr:rowOff>
        </xdr:from>
        <xdr:to>
          <xdr:col>3</xdr:col>
          <xdr:colOff>60960</xdr:colOff>
          <xdr:row>17</xdr:row>
          <xdr:rowOff>0</xdr:rowOff>
        </xdr:to>
        <xdr:sp macro="" textlink="">
          <xdr:nvSpPr>
            <xdr:cNvPr id="10244" name="Bildlaufleiste 4" hidden="1">
              <a:extLst>
                <a:ext uri="{63B3BB69-23CF-44E3-9099-C40C66FF867C}">
                  <a14:compatExt spid="_x0000_s10244"/>
                </a:ext>
                <a:ext uri="{FF2B5EF4-FFF2-40B4-BE49-F238E27FC236}">
                  <a16:creationId xmlns:a16="http://schemas.microsoft.com/office/drawing/2014/main" id="{00000000-0008-0000-0200-000004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373380</xdr:colOff>
          <xdr:row>17</xdr:row>
          <xdr:rowOff>152400</xdr:rowOff>
        </xdr:from>
        <xdr:to>
          <xdr:col>3</xdr:col>
          <xdr:colOff>60960</xdr:colOff>
          <xdr:row>18</xdr:row>
          <xdr:rowOff>152400</xdr:rowOff>
        </xdr:to>
        <xdr:sp macro="" textlink="">
          <xdr:nvSpPr>
            <xdr:cNvPr id="10264" name="Полоса прокр. 24" hidden="1">
              <a:extLst>
                <a:ext uri="{63B3BB69-23CF-44E3-9099-C40C66FF867C}">
                  <a14:compatExt spid="_x0000_s10264"/>
                </a:ext>
                <a:ext uri="{FF2B5EF4-FFF2-40B4-BE49-F238E27FC236}">
                  <a16:creationId xmlns:a16="http://schemas.microsoft.com/office/drawing/2014/main" id="{00000000-0008-0000-0200-000018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18</xdr:row>
          <xdr:rowOff>175260</xdr:rowOff>
        </xdr:from>
        <xdr:to>
          <xdr:col>3</xdr:col>
          <xdr:colOff>68580</xdr:colOff>
          <xdr:row>19</xdr:row>
          <xdr:rowOff>175260</xdr:rowOff>
        </xdr:to>
        <xdr:sp macro="" textlink="">
          <xdr:nvSpPr>
            <xdr:cNvPr id="10265" name="Полоса прокр. 25" hidden="1">
              <a:extLst>
                <a:ext uri="{63B3BB69-23CF-44E3-9099-C40C66FF867C}">
                  <a14:compatExt spid="_x0000_s10265"/>
                </a:ext>
                <a:ext uri="{FF2B5EF4-FFF2-40B4-BE49-F238E27FC236}">
                  <a16:creationId xmlns:a16="http://schemas.microsoft.com/office/drawing/2014/main" id="{00000000-0008-0000-0200-000019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373380</xdr:colOff>
          <xdr:row>20</xdr:row>
          <xdr:rowOff>7620</xdr:rowOff>
        </xdr:from>
        <xdr:to>
          <xdr:col>3</xdr:col>
          <xdr:colOff>60960</xdr:colOff>
          <xdr:row>21</xdr:row>
          <xdr:rowOff>7620</xdr:rowOff>
        </xdr:to>
        <xdr:sp macro="" textlink="">
          <xdr:nvSpPr>
            <xdr:cNvPr id="10266" name="Полоса прокр. 26" hidden="1">
              <a:extLst>
                <a:ext uri="{63B3BB69-23CF-44E3-9099-C40C66FF867C}">
                  <a14:compatExt spid="_x0000_s10266"/>
                </a:ext>
                <a:ext uri="{FF2B5EF4-FFF2-40B4-BE49-F238E27FC236}">
                  <a16:creationId xmlns:a16="http://schemas.microsoft.com/office/drawing/2014/main" id="{00000000-0008-0000-0200-00001A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373380</xdr:colOff>
          <xdr:row>23</xdr:row>
          <xdr:rowOff>0</xdr:rowOff>
        </xdr:from>
        <xdr:to>
          <xdr:col>3</xdr:col>
          <xdr:colOff>60960</xdr:colOff>
          <xdr:row>24</xdr:row>
          <xdr:rowOff>0</xdr:rowOff>
        </xdr:to>
        <xdr:sp macro="" textlink="">
          <xdr:nvSpPr>
            <xdr:cNvPr id="10267" name="Полоса прокр. 27" hidden="1">
              <a:extLst>
                <a:ext uri="{63B3BB69-23CF-44E3-9099-C40C66FF867C}">
                  <a14:compatExt spid="_x0000_s10267"/>
                </a:ext>
                <a:ext uri="{FF2B5EF4-FFF2-40B4-BE49-F238E27FC236}">
                  <a16:creationId xmlns:a16="http://schemas.microsoft.com/office/drawing/2014/main" id="{00000000-0008-0000-0200-00001B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373380</xdr:colOff>
          <xdr:row>24</xdr:row>
          <xdr:rowOff>0</xdr:rowOff>
        </xdr:from>
        <xdr:to>
          <xdr:col>3</xdr:col>
          <xdr:colOff>60960</xdr:colOff>
          <xdr:row>25</xdr:row>
          <xdr:rowOff>0</xdr:rowOff>
        </xdr:to>
        <xdr:sp macro="" textlink="">
          <xdr:nvSpPr>
            <xdr:cNvPr id="10268" name="Scroll Bar 28" hidden="1">
              <a:extLst>
                <a:ext uri="{63B3BB69-23CF-44E3-9099-C40C66FF867C}">
                  <a14:compatExt spid="_x0000_s10268"/>
                </a:ext>
                <a:ext uri="{FF2B5EF4-FFF2-40B4-BE49-F238E27FC236}">
                  <a16:creationId xmlns:a16="http://schemas.microsoft.com/office/drawing/2014/main" id="{00000000-0008-0000-0200-00001C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373380</xdr:colOff>
          <xdr:row>24</xdr:row>
          <xdr:rowOff>0</xdr:rowOff>
        </xdr:from>
        <xdr:to>
          <xdr:col>3</xdr:col>
          <xdr:colOff>60960</xdr:colOff>
          <xdr:row>25</xdr:row>
          <xdr:rowOff>0</xdr:rowOff>
        </xdr:to>
        <xdr:sp macro="" textlink="">
          <xdr:nvSpPr>
            <xdr:cNvPr id="10269" name="Scroll Bar 29" hidden="1">
              <a:extLst>
                <a:ext uri="{63B3BB69-23CF-44E3-9099-C40C66FF867C}">
                  <a14:compatExt spid="_x0000_s10269"/>
                </a:ext>
                <a:ext uri="{FF2B5EF4-FFF2-40B4-BE49-F238E27FC236}">
                  <a16:creationId xmlns:a16="http://schemas.microsoft.com/office/drawing/2014/main" id="{00000000-0008-0000-0200-00001D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373380</xdr:colOff>
          <xdr:row>25</xdr:row>
          <xdr:rowOff>0</xdr:rowOff>
        </xdr:from>
        <xdr:to>
          <xdr:col>3</xdr:col>
          <xdr:colOff>60960</xdr:colOff>
          <xdr:row>26</xdr:row>
          <xdr:rowOff>0</xdr:rowOff>
        </xdr:to>
        <xdr:sp macro="" textlink="">
          <xdr:nvSpPr>
            <xdr:cNvPr id="10270" name="Scroll Bar 30" hidden="1">
              <a:extLst>
                <a:ext uri="{63B3BB69-23CF-44E3-9099-C40C66FF867C}">
                  <a14:compatExt spid="_x0000_s10270"/>
                </a:ext>
                <a:ext uri="{FF2B5EF4-FFF2-40B4-BE49-F238E27FC236}">
                  <a16:creationId xmlns:a16="http://schemas.microsoft.com/office/drawing/2014/main" id="{00000000-0008-0000-0200-00001E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373380</xdr:colOff>
          <xdr:row>26</xdr:row>
          <xdr:rowOff>0</xdr:rowOff>
        </xdr:from>
        <xdr:to>
          <xdr:col>3</xdr:col>
          <xdr:colOff>60960</xdr:colOff>
          <xdr:row>27</xdr:row>
          <xdr:rowOff>0</xdr:rowOff>
        </xdr:to>
        <xdr:sp macro="" textlink="">
          <xdr:nvSpPr>
            <xdr:cNvPr id="10271" name="Scroll Bar 31" hidden="1">
              <a:extLst>
                <a:ext uri="{63B3BB69-23CF-44E3-9099-C40C66FF867C}">
                  <a14:compatExt spid="_x0000_s10271"/>
                </a:ext>
                <a:ext uri="{FF2B5EF4-FFF2-40B4-BE49-F238E27FC236}">
                  <a16:creationId xmlns:a16="http://schemas.microsoft.com/office/drawing/2014/main" id="{00000000-0008-0000-0200-00001F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373380</xdr:colOff>
          <xdr:row>29</xdr:row>
          <xdr:rowOff>0</xdr:rowOff>
        </xdr:from>
        <xdr:to>
          <xdr:col>3</xdr:col>
          <xdr:colOff>60960</xdr:colOff>
          <xdr:row>30</xdr:row>
          <xdr:rowOff>0</xdr:rowOff>
        </xdr:to>
        <xdr:sp macro="" textlink="">
          <xdr:nvSpPr>
            <xdr:cNvPr id="10272" name="Полоса прокр. 32" hidden="1">
              <a:extLst>
                <a:ext uri="{63B3BB69-23CF-44E3-9099-C40C66FF867C}">
                  <a14:compatExt spid="_x0000_s10272"/>
                </a:ext>
                <a:ext uri="{FF2B5EF4-FFF2-40B4-BE49-F238E27FC236}">
                  <a16:creationId xmlns:a16="http://schemas.microsoft.com/office/drawing/2014/main" id="{00000000-0008-0000-0200-000020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373380</xdr:colOff>
          <xdr:row>30</xdr:row>
          <xdr:rowOff>38100</xdr:rowOff>
        </xdr:from>
        <xdr:to>
          <xdr:col>3</xdr:col>
          <xdr:colOff>60960</xdr:colOff>
          <xdr:row>30</xdr:row>
          <xdr:rowOff>236220</xdr:rowOff>
        </xdr:to>
        <xdr:sp macro="" textlink="">
          <xdr:nvSpPr>
            <xdr:cNvPr id="10274" name="Полоса прокр. 34" hidden="1">
              <a:extLst>
                <a:ext uri="{63B3BB69-23CF-44E3-9099-C40C66FF867C}">
                  <a14:compatExt spid="_x0000_s10274"/>
                </a:ext>
                <a:ext uri="{FF2B5EF4-FFF2-40B4-BE49-F238E27FC236}">
                  <a16:creationId xmlns:a16="http://schemas.microsoft.com/office/drawing/2014/main" id="{00000000-0008-0000-0200-000022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354874</xdr:colOff>
          <xdr:row>31</xdr:row>
          <xdr:rowOff>50074</xdr:rowOff>
        </xdr:from>
        <xdr:to>
          <xdr:col>3</xdr:col>
          <xdr:colOff>34834</xdr:colOff>
          <xdr:row>31</xdr:row>
          <xdr:rowOff>236219</xdr:rowOff>
        </xdr:to>
        <xdr:sp macro="" textlink="">
          <xdr:nvSpPr>
            <xdr:cNvPr id="10276" name="Полоса прокр. 36" hidden="1">
              <a:extLst>
                <a:ext uri="{63B3BB69-23CF-44E3-9099-C40C66FF867C}">
                  <a14:compatExt spid="_x0000_s10276"/>
                </a:ext>
                <a:ext uri="{FF2B5EF4-FFF2-40B4-BE49-F238E27FC236}">
                  <a16:creationId xmlns:a16="http://schemas.microsoft.com/office/drawing/2014/main" id="{00000000-0008-0000-0200-000024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4</xdr:col>
      <xdr:colOff>0</xdr:colOff>
      <xdr:row>62</xdr:row>
      <xdr:rowOff>0</xdr:rowOff>
    </xdr:from>
    <xdr:to>
      <xdr:col>9</xdr:col>
      <xdr:colOff>271101</xdr:colOff>
      <xdr:row>85</xdr:row>
      <xdr:rowOff>132127</xdr:rowOff>
    </xdr:to>
    <xdr:graphicFrame macro="">
      <xdr:nvGraphicFramePr>
        <xdr:cNvPr id="46" name="Chart 107">
          <a:extLst>
            <a:ext uri="{FF2B5EF4-FFF2-40B4-BE49-F238E27FC236}">
              <a16:creationId xmlns:a16="http://schemas.microsoft.com/office/drawing/2014/main" id="{00000000-0008-0000-02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367393</xdr:colOff>
      <xdr:row>62</xdr:row>
      <xdr:rowOff>0</xdr:rowOff>
    </xdr:from>
    <xdr:to>
      <xdr:col>18</xdr:col>
      <xdr:colOff>299358</xdr:colOff>
      <xdr:row>85</xdr:row>
      <xdr:rowOff>132127</xdr:rowOff>
    </xdr:to>
    <xdr:graphicFrame macro="">
      <xdr:nvGraphicFramePr>
        <xdr:cNvPr id="49" name="Chart 107">
          <a:extLst>
            <a:ext uri="{FF2B5EF4-FFF2-40B4-BE49-F238E27FC236}">
              <a16:creationId xmlns:a16="http://schemas.microsoft.com/office/drawing/2014/main" id="{00000000-0008-0000-02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1981200</xdr:colOff>
      <xdr:row>14</xdr:row>
      <xdr:rowOff>138546</xdr:rowOff>
    </xdr:from>
    <xdr:to>
      <xdr:col>9</xdr:col>
      <xdr:colOff>340428</xdr:colOff>
      <xdr:row>34</xdr:row>
      <xdr:rowOff>107869</xdr:rowOff>
    </xdr:to>
    <xdr:graphicFrame macro="">
      <xdr:nvGraphicFramePr>
        <xdr:cNvPr id="26" name="Chart 107">
          <a:extLst>
            <a:ext uri="{FF2B5EF4-FFF2-40B4-BE49-F238E27FC236}">
              <a16:creationId xmlns:a16="http://schemas.microsoft.com/office/drawing/2014/main" id="{00000000-0008-0000-02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1464476</xdr:colOff>
      <xdr:row>16</xdr:row>
      <xdr:rowOff>55679</xdr:rowOff>
    </xdr:from>
    <xdr:to>
      <xdr:col>7</xdr:col>
      <xdr:colOff>535336</xdr:colOff>
      <xdr:row>17</xdr:row>
      <xdr:rowOff>190397</xdr:rowOff>
    </xdr:to>
    <xdr:sp macro="" textlink="">
      <xdr:nvSpPr>
        <xdr:cNvPr id="27" name="TextBox 82">
          <a:extLst>
            <a:ext uri="{FF2B5EF4-FFF2-40B4-BE49-F238E27FC236}">
              <a16:creationId xmlns:a16="http://schemas.microsoft.com/office/drawing/2014/main" id="{00000000-0008-0000-0200-00001B000000}"/>
            </a:ext>
          </a:extLst>
        </xdr:cNvPr>
        <xdr:cNvSpPr txBox="1"/>
      </xdr:nvSpPr>
      <xdr:spPr>
        <a:xfrm>
          <a:off x="12174040" y="3103679"/>
          <a:ext cx="3615151" cy="328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dk1"/>
              </a:solidFill>
              <a:effectLst/>
              <a:latin typeface="+mn-lt"/>
              <a:ea typeface="+mn-ea"/>
              <a:cs typeface="+mn-cs"/>
            </a:rPr>
            <a:t>TOKEN</a:t>
          </a:r>
          <a:r>
            <a:rPr lang="en-AU" sz="1100" b="1" baseline="0">
              <a:solidFill>
                <a:schemeClr val="dk1"/>
              </a:solidFill>
              <a:effectLst/>
              <a:latin typeface="+mn-lt"/>
              <a:ea typeface="+mn-ea"/>
              <a:cs typeface="+mn-cs"/>
            </a:rPr>
            <a:t> PRICE - solely based on linear supply / demand</a:t>
          </a:r>
        </a:p>
        <a:p>
          <a:endParaRPr lang="en-US">
            <a:effectLst/>
          </a:endParaRPr>
        </a:p>
      </xdr:txBody>
    </xdr:sp>
    <xdr:clientData/>
  </xdr:twoCellAnchor>
  <xdr:twoCellAnchor>
    <xdr:from>
      <xdr:col>4</xdr:col>
      <xdr:colOff>88467</xdr:colOff>
      <xdr:row>37</xdr:row>
      <xdr:rowOff>55418</xdr:rowOff>
    </xdr:from>
    <xdr:to>
      <xdr:col>9</xdr:col>
      <xdr:colOff>221673</xdr:colOff>
      <xdr:row>61</xdr:row>
      <xdr:rowOff>41563</xdr:rowOff>
    </xdr:to>
    <xdr:graphicFrame macro="">
      <xdr:nvGraphicFramePr>
        <xdr:cNvPr id="28" name="Chart 107">
          <a:extLst>
            <a:ext uri="{FF2B5EF4-FFF2-40B4-BE49-F238E27FC236}">
              <a16:creationId xmlns:a16="http://schemas.microsoft.com/office/drawing/2014/main" id="{00000000-0008-0000-02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1737158</xdr:colOff>
      <xdr:row>38</xdr:row>
      <xdr:rowOff>80810</xdr:rowOff>
    </xdr:from>
    <xdr:to>
      <xdr:col>6</xdr:col>
      <xdr:colOff>299853</xdr:colOff>
      <xdr:row>41</xdr:row>
      <xdr:rowOff>2970</xdr:rowOff>
    </xdr:to>
    <xdr:sp macro="" textlink="">
      <xdr:nvSpPr>
        <xdr:cNvPr id="29" name="TextBox 82">
          <a:extLst>
            <a:ext uri="{FF2B5EF4-FFF2-40B4-BE49-F238E27FC236}">
              <a16:creationId xmlns:a16="http://schemas.microsoft.com/office/drawing/2014/main" id="{00000000-0008-0000-0200-00001D000000}"/>
            </a:ext>
          </a:extLst>
        </xdr:cNvPr>
        <xdr:cNvSpPr txBox="1"/>
      </xdr:nvSpPr>
      <xdr:spPr>
        <a:xfrm>
          <a:off x="12446722" y="7742374"/>
          <a:ext cx="2525095" cy="4763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dk1"/>
              </a:solidFill>
              <a:effectLst/>
              <a:latin typeface="+mn-lt"/>
              <a:ea typeface="+mn-ea"/>
              <a:cs typeface="+mn-cs"/>
            </a:rPr>
            <a:t>TOTAL DEMAND</a:t>
          </a:r>
          <a:r>
            <a:rPr lang="en-AU" sz="1100" b="1" baseline="0">
              <a:solidFill>
                <a:schemeClr val="dk1"/>
              </a:solidFill>
              <a:effectLst/>
              <a:latin typeface="+mn-lt"/>
              <a:ea typeface="+mn-ea"/>
              <a:cs typeface="+mn-cs"/>
            </a:rPr>
            <a:t> vs TOTAL SUPPLY</a:t>
          </a:r>
          <a:r>
            <a:rPr lang="en-AU" sz="1100" b="1">
              <a:solidFill>
                <a:schemeClr val="dk1"/>
              </a:solidFill>
              <a:effectLst/>
              <a:latin typeface="+mn-lt"/>
              <a:ea typeface="+mn-ea"/>
              <a:cs typeface="+mn-cs"/>
            </a:rPr>
            <a:t>,</a:t>
          </a:r>
          <a:r>
            <a:rPr lang="en-AU" sz="1100" b="1" baseline="0">
              <a:solidFill>
                <a:schemeClr val="dk1"/>
              </a:solidFill>
              <a:effectLst/>
              <a:latin typeface="+mn-lt"/>
              <a:ea typeface="+mn-ea"/>
              <a:cs typeface="+mn-cs"/>
            </a:rPr>
            <a:t> MLN</a:t>
          </a:r>
        </a:p>
        <a:p>
          <a:endParaRPr lang="en-US">
            <a:effectLst/>
          </a:endParaRPr>
        </a:p>
      </xdr:txBody>
    </xdr:sp>
    <xdr:clientData/>
  </xdr:twoCellAnchor>
  <xdr:twoCellAnchor editAs="oneCell">
    <xdr:from>
      <xdr:col>0</xdr:col>
      <xdr:colOff>97971</xdr:colOff>
      <xdr:row>0</xdr:row>
      <xdr:rowOff>35281</xdr:rowOff>
    </xdr:from>
    <xdr:to>
      <xdr:col>0</xdr:col>
      <xdr:colOff>2677886</xdr:colOff>
      <xdr:row>2</xdr:row>
      <xdr:rowOff>302000</xdr:rowOff>
    </xdr:to>
    <xdr:pic>
      <xdr:nvPicPr>
        <xdr:cNvPr id="4" name="Grafik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7"/>
        <a:stretch>
          <a:fillRect/>
        </a:stretch>
      </xdr:blipFill>
      <xdr:spPr>
        <a:xfrm>
          <a:off x="97971" y="35281"/>
          <a:ext cx="2579915" cy="593290"/>
        </a:xfrm>
        <a:prstGeom prst="rect">
          <a:avLst/>
        </a:prstGeom>
      </xdr:spPr>
    </xdr:pic>
    <xdr:clientData/>
  </xdr:twoCellAnchor>
  <xdr:twoCellAnchor editAs="oneCell">
    <xdr:from>
      <xdr:col>7</xdr:col>
      <xdr:colOff>381000</xdr:colOff>
      <xdr:row>3</xdr:row>
      <xdr:rowOff>65314</xdr:rowOff>
    </xdr:from>
    <xdr:to>
      <xdr:col>11</xdr:col>
      <xdr:colOff>692277</xdr:colOff>
      <xdr:row>11</xdr:row>
      <xdr:rowOff>142675</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8"/>
        <a:stretch>
          <a:fillRect/>
        </a:stretch>
      </xdr:blipFill>
      <xdr:spPr>
        <a:xfrm>
          <a:off x="16089086" y="740228"/>
          <a:ext cx="2619048" cy="1590476"/>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0.39146</cdr:x>
      <cdr:y>0.02944</cdr:y>
    </cdr:from>
    <cdr:to>
      <cdr:x>0.70905</cdr:x>
      <cdr:y>0.13619</cdr:y>
    </cdr:to>
    <cdr:sp macro="" textlink="">
      <cdr:nvSpPr>
        <cdr:cNvPr id="2" name="TextBox 82">
          <a:extLst xmlns:a="http://schemas.openxmlformats.org/drawingml/2006/main">
            <a:ext uri="{FF2B5EF4-FFF2-40B4-BE49-F238E27FC236}">
              <a16:creationId xmlns:a16="http://schemas.microsoft.com/office/drawing/2014/main" id="{00000000-0008-0000-0200-00000F000000}"/>
            </a:ext>
          </a:extLst>
        </cdr:cNvPr>
        <cdr:cNvSpPr txBox="1"/>
      </cdr:nvSpPr>
      <cdr:spPr>
        <a:xfrm xmlns:a="http://schemas.openxmlformats.org/drawingml/2006/main">
          <a:off x="2268765" y="105229"/>
          <a:ext cx="1840592" cy="38161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de-DE" sz="1100" b="1" i="0" u="none" strike="noStrike">
              <a:solidFill>
                <a:schemeClr val="dk1"/>
              </a:solidFill>
              <a:effectLst/>
              <a:latin typeface="+mn-lt"/>
              <a:ea typeface="+mn-ea"/>
              <a:cs typeface="+mn-cs"/>
            </a:rPr>
            <a:t>Active Monthly User Switex</a:t>
          </a:r>
          <a:endParaRPr lang="en-US" b="1">
            <a:effectLst/>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0.35928</cdr:x>
      <cdr:y>0.02944</cdr:y>
    </cdr:from>
    <cdr:to>
      <cdr:x>0.71724</cdr:x>
      <cdr:y>0.13619</cdr:y>
    </cdr:to>
    <cdr:sp macro="" textlink="">
      <cdr:nvSpPr>
        <cdr:cNvPr id="2" name="TextBox 82">
          <a:extLst xmlns:a="http://schemas.openxmlformats.org/drawingml/2006/main">
            <a:ext uri="{FF2B5EF4-FFF2-40B4-BE49-F238E27FC236}">
              <a16:creationId xmlns:a16="http://schemas.microsoft.com/office/drawing/2014/main" id="{00000000-0008-0000-0200-00000F000000}"/>
            </a:ext>
          </a:extLst>
        </cdr:cNvPr>
        <cdr:cNvSpPr txBox="1"/>
      </cdr:nvSpPr>
      <cdr:spPr>
        <a:xfrm xmlns:a="http://schemas.openxmlformats.org/drawingml/2006/main">
          <a:off x="2126594" y="105240"/>
          <a:ext cx="2118834" cy="38160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de-DE" sz="1100" b="1" i="0" u="none" strike="noStrike">
              <a:solidFill>
                <a:schemeClr val="dk1"/>
              </a:solidFill>
              <a:effectLst/>
              <a:latin typeface="+mn-lt"/>
              <a:ea typeface="+mn-ea"/>
              <a:cs typeface="+mn-cs"/>
            </a:rPr>
            <a:t>Active Monthly User SwipeStox</a:t>
          </a:r>
          <a:endParaRPr lang="en-US" b="1">
            <a:effectLst/>
          </a:endParaRPr>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1133475</xdr:colOff>
      <xdr:row>2</xdr:row>
      <xdr:rowOff>48</xdr:rowOff>
    </xdr:to>
    <xdr:pic>
      <xdr:nvPicPr>
        <xdr:cNvPr id="2" name="Grafik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 y="1"/>
          <a:ext cx="1133474" cy="35961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xdr:colOff>
      <xdr:row>0</xdr:row>
      <xdr:rowOff>0</xdr:rowOff>
    </xdr:from>
    <xdr:to>
      <xdr:col>0</xdr:col>
      <xdr:colOff>931334</xdr:colOff>
      <xdr:row>2</xdr:row>
      <xdr:rowOff>7055</xdr:rowOff>
    </xdr:to>
    <xdr:pic>
      <xdr:nvPicPr>
        <xdr:cNvPr id="2" name="Grafik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2" y="0"/>
          <a:ext cx="931332" cy="3880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nagaico.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2.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3.xml"/><Relationship Id="rId16" Type="http://schemas.openxmlformats.org/officeDocument/2006/relationships/comments" Target="../comments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D2193-DE8E-4DA0-A8E1-F26CF03650CD}">
  <sheetPr codeName="Worksheet____1">
    <tabColor theme="3"/>
  </sheetPr>
  <dimension ref="B1:E36"/>
  <sheetViews>
    <sheetView zoomScale="85" zoomScaleNormal="85" workbookViewId="0">
      <pane xSplit="2" ySplit="3" topLeftCell="C10" activePane="bottomRight" state="frozen"/>
      <selection pane="topRight" activeCell="C1" sqref="C1"/>
      <selection pane="bottomLeft" activeCell="A4" sqref="A4"/>
      <selection pane="bottomRight" activeCell="B18" sqref="B18"/>
    </sheetView>
  </sheetViews>
  <sheetFormatPr baseColWidth="10" defaultColWidth="11.5546875" defaultRowHeight="14.4" x14ac:dyDescent="0.3"/>
  <cols>
    <col min="1" max="1" width="6.33203125" style="1" customWidth="1"/>
    <col min="2" max="2" width="49.109375" style="1" customWidth="1"/>
    <col min="3" max="3" width="38.88671875" style="1" bestFit="1" customWidth="1"/>
    <col min="4" max="4" width="16.6640625" style="1" customWidth="1"/>
    <col min="5" max="5" width="22.33203125" style="1" customWidth="1"/>
    <col min="6" max="16384" width="11.5546875" style="1"/>
  </cols>
  <sheetData>
    <row r="1" spans="2:5" s="256" customFormat="1" x14ac:dyDescent="0.3"/>
    <row r="2" spans="2:5" s="256" customFormat="1" x14ac:dyDescent="0.3"/>
    <row r="3" spans="2:5" s="256" customFormat="1" x14ac:dyDescent="0.3"/>
    <row r="4" spans="2:5" ht="30" customHeight="1" x14ac:dyDescent="0.3">
      <c r="B4" s="58" t="s">
        <v>181</v>
      </c>
      <c r="C4" s="392" t="s">
        <v>174</v>
      </c>
    </row>
    <row r="5" spans="2:5" x14ac:dyDescent="0.3">
      <c r="B5" s="58" t="s">
        <v>68</v>
      </c>
      <c r="C5" s="57" t="s">
        <v>69</v>
      </c>
    </row>
    <row r="7" spans="2:5" ht="15" thickBot="1" x14ac:dyDescent="0.35">
      <c r="B7" s="44" t="s">
        <v>49</v>
      </c>
    </row>
    <row r="8" spans="2:5" ht="15.6" x14ac:dyDescent="0.3">
      <c r="B8" s="53" t="s">
        <v>50</v>
      </c>
      <c r="C8" s="222" t="s">
        <v>51</v>
      </c>
      <c r="D8" s="4"/>
      <c r="E8" s="4"/>
    </row>
    <row r="9" spans="2:5" ht="15.6" x14ac:dyDescent="0.3">
      <c r="B9" s="54" t="s">
        <v>143</v>
      </c>
      <c r="C9" s="223">
        <v>1</v>
      </c>
      <c r="D9" s="4"/>
      <c r="E9" s="4"/>
    </row>
    <row r="10" spans="2:5" ht="15.6" x14ac:dyDescent="0.3">
      <c r="B10" s="54" t="s">
        <v>93</v>
      </c>
      <c r="C10" s="224">
        <v>1000000</v>
      </c>
      <c r="D10" s="4"/>
      <c r="E10" s="4"/>
    </row>
    <row r="11" spans="2:5" ht="15.6" x14ac:dyDescent="0.3">
      <c r="B11" s="54" t="s">
        <v>94</v>
      </c>
      <c r="C11" s="224">
        <v>400000000</v>
      </c>
      <c r="D11" s="4"/>
      <c r="E11" s="4"/>
    </row>
    <row r="12" spans="2:5" ht="15.6" x14ac:dyDescent="0.3">
      <c r="B12" s="54" t="s">
        <v>52</v>
      </c>
      <c r="C12" s="224">
        <v>20000000</v>
      </c>
      <c r="D12" s="4"/>
      <c r="E12" s="4"/>
    </row>
    <row r="13" spans="2:5" ht="15.6" x14ac:dyDescent="0.3">
      <c r="B13" s="54" t="s">
        <v>53</v>
      </c>
      <c r="C13" s="225">
        <v>0.55000000000000004</v>
      </c>
      <c r="D13" s="4"/>
      <c r="E13" s="4"/>
    </row>
    <row r="14" spans="2:5" ht="16.2" thickBot="1" x14ac:dyDescent="0.35">
      <c r="B14" s="55" t="s">
        <v>54</v>
      </c>
      <c r="C14" s="226" t="s">
        <v>55</v>
      </c>
      <c r="D14" s="4"/>
      <c r="E14" s="4"/>
    </row>
    <row r="15" spans="2:5" x14ac:dyDescent="0.3">
      <c r="B15" s="18"/>
      <c r="C15" s="579"/>
      <c r="D15" s="579"/>
      <c r="E15" s="579"/>
    </row>
    <row r="16" spans="2:5" ht="15" thickBot="1" x14ac:dyDescent="0.35">
      <c r="B16" s="44" t="s">
        <v>56</v>
      </c>
      <c r="C16" s="5"/>
    </row>
    <row r="17" spans="2:4" ht="15.6" x14ac:dyDescent="0.3">
      <c r="B17" s="53" t="s">
        <v>57</v>
      </c>
      <c r="C17" s="227">
        <v>0.55000000000000004</v>
      </c>
      <c r="D17" s="3"/>
    </row>
    <row r="18" spans="2:4" ht="15.6" x14ac:dyDescent="0.3">
      <c r="B18" s="54" t="s">
        <v>231</v>
      </c>
      <c r="C18" s="225">
        <v>0.05</v>
      </c>
      <c r="D18" s="3"/>
    </row>
    <row r="19" spans="2:4" ht="15.6" x14ac:dyDescent="0.3">
      <c r="B19" s="54" t="s">
        <v>144</v>
      </c>
      <c r="C19" s="228">
        <v>0.17499999999999999</v>
      </c>
      <c r="D19" s="3"/>
    </row>
    <row r="20" spans="2:4" ht="15.6" x14ac:dyDescent="0.3">
      <c r="B20" s="54" t="s">
        <v>58</v>
      </c>
      <c r="C20" s="225">
        <v>0.1</v>
      </c>
      <c r="D20" s="3"/>
    </row>
    <row r="21" spans="2:4" ht="16.2" thickBot="1" x14ac:dyDescent="0.35">
      <c r="B21" s="55" t="s">
        <v>59</v>
      </c>
      <c r="C21" s="229">
        <v>0.125</v>
      </c>
      <c r="D21" s="3"/>
    </row>
    <row r="23" spans="2:4" ht="15" thickBot="1" x14ac:dyDescent="0.35">
      <c r="B23" s="44" t="s">
        <v>217</v>
      </c>
      <c r="D23" s="6"/>
    </row>
    <row r="24" spans="2:4" ht="15.6" x14ac:dyDescent="0.3">
      <c r="B24" s="53" t="s">
        <v>145</v>
      </c>
      <c r="C24" s="432">
        <v>0.5</v>
      </c>
      <c r="D24" s="6"/>
    </row>
    <row r="25" spans="2:4" ht="15.6" x14ac:dyDescent="0.3">
      <c r="B25" s="54" t="s">
        <v>228</v>
      </c>
      <c r="C25" s="433">
        <v>5.8000000000000003E-2</v>
      </c>
      <c r="D25" s="6"/>
    </row>
    <row r="26" spans="2:4" ht="15.6" x14ac:dyDescent="0.3">
      <c r="B26" s="54" t="s">
        <v>62</v>
      </c>
      <c r="C26" s="433">
        <v>0.04</v>
      </c>
      <c r="D26" s="6"/>
    </row>
    <row r="27" spans="2:4" ht="15.6" x14ac:dyDescent="0.3">
      <c r="B27" s="54" t="s">
        <v>146</v>
      </c>
      <c r="C27" s="433">
        <v>7.0000000000000007E-2</v>
      </c>
      <c r="D27" s="6"/>
    </row>
    <row r="28" spans="2:4" ht="15.6" x14ac:dyDescent="0.3">
      <c r="B28" s="54" t="s">
        <v>63</v>
      </c>
      <c r="C28" s="433">
        <v>8.4000000000000005E-2</v>
      </c>
      <c r="D28" s="6"/>
    </row>
    <row r="29" spans="2:4" ht="15.6" x14ac:dyDescent="0.3">
      <c r="B29" s="54" t="s">
        <v>64</v>
      </c>
      <c r="C29" s="433">
        <v>0.04</v>
      </c>
      <c r="D29" s="6"/>
    </row>
    <row r="30" spans="2:4" ht="15.6" x14ac:dyDescent="0.3">
      <c r="B30" s="54" t="s">
        <v>65</v>
      </c>
      <c r="C30" s="433">
        <v>7.8E-2</v>
      </c>
      <c r="D30" s="6"/>
    </row>
    <row r="31" spans="2:4" ht="15.6" x14ac:dyDescent="0.3">
      <c r="B31" s="54" t="s">
        <v>66</v>
      </c>
      <c r="C31" s="433">
        <v>2.8000000000000001E-2</v>
      </c>
      <c r="D31" s="6"/>
    </row>
    <row r="32" spans="2:4" ht="15.6" x14ac:dyDescent="0.3">
      <c r="B32" s="54" t="s">
        <v>197</v>
      </c>
      <c r="C32" s="433">
        <v>2.9000000000000001E-2</v>
      </c>
      <c r="D32" s="6"/>
    </row>
    <row r="33" spans="2:3" ht="16.2" thickBot="1" x14ac:dyDescent="0.35">
      <c r="B33" s="55" t="s">
        <v>67</v>
      </c>
      <c r="C33" s="434">
        <v>7.2999999999999995E-2</v>
      </c>
    </row>
    <row r="34" spans="2:3" x14ac:dyDescent="0.3">
      <c r="C34" s="6"/>
    </row>
    <row r="35" spans="2:3" ht="15.6" x14ac:dyDescent="0.3">
      <c r="B35" s="58"/>
      <c r="C35" s="56"/>
    </row>
    <row r="36" spans="2:3" x14ac:dyDescent="0.3">
      <c r="B36" s="58"/>
      <c r="C36" s="57"/>
    </row>
  </sheetData>
  <mergeCells count="1">
    <mergeCell ref="C15:E15"/>
  </mergeCells>
  <conditionalFormatting sqref="B8:B14">
    <cfRule type="cellIs" dxfId="61" priority="27" operator="lessThan">
      <formula>0</formula>
    </cfRule>
  </conditionalFormatting>
  <conditionalFormatting sqref="B17:B21">
    <cfRule type="cellIs" dxfId="60" priority="22" operator="lessThan">
      <formula>0</formula>
    </cfRule>
  </conditionalFormatting>
  <conditionalFormatting sqref="B27:B28">
    <cfRule type="cellIs" dxfId="59" priority="4" operator="lessThan">
      <formula>0</formula>
    </cfRule>
  </conditionalFormatting>
  <conditionalFormatting sqref="B29:B31">
    <cfRule type="cellIs" dxfId="58" priority="2" operator="lessThan">
      <formula>0</formula>
    </cfRule>
  </conditionalFormatting>
  <conditionalFormatting sqref="B33">
    <cfRule type="cellIs" dxfId="57" priority="9" operator="lessThan">
      <formula>0</formula>
    </cfRule>
  </conditionalFormatting>
  <conditionalFormatting sqref="B24:B26">
    <cfRule type="cellIs" dxfId="56" priority="7" operator="lessThan">
      <formula>0</formula>
    </cfRule>
  </conditionalFormatting>
  <conditionalFormatting sqref="B32">
    <cfRule type="cellIs" dxfId="55" priority="12" operator="lessThan">
      <formula>0</formula>
    </cfRule>
  </conditionalFormatting>
  <hyperlinks>
    <hyperlink ref="C5" r:id="rId1" xr:uid="{1B8B4894-8255-417E-88F1-81B60EA0E453}"/>
  </hyperlinks>
  <pageMargins left="0.7" right="0.7" top="0.78740157499999996" bottom="0.78740157499999996" header="0.3" footer="0.3"/>
  <pageSetup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1E12A-197A-4692-BE5C-552C83239690}">
  <sheetPr codeName="Worksheet____2">
    <tabColor theme="3"/>
  </sheetPr>
  <dimension ref="A1:AK50"/>
  <sheetViews>
    <sheetView showGridLines="0" zoomScale="80" zoomScaleNormal="80" workbookViewId="0">
      <pane xSplit="2" ySplit="3" topLeftCell="C4" activePane="bottomRight" state="frozen"/>
      <selection pane="topRight" activeCell="C1" sqref="C1"/>
      <selection pane="bottomLeft" activeCell="A4" sqref="A4"/>
      <selection pane="bottomRight" activeCell="Q13" sqref="Q13"/>
    </sheetView>
  </sheetViews>
  <sheetFormatPr baseColWidth="10" defaultColWidth="8.88671875" defaultRowHeight="14.4" outlineLevelCol="1" x14ac:dyDescent="0.3"/>
  <cols>
    <col min="1" max="1" width="4.88671875" style="7" customWidth="1"/>
    <col min="2" max="2" width="37.6640625" style="7" bestFit="1" customWidth="1"/>
    <col min="3" max="3" width="13" style="7" bestFit="1" customWidth="1"/>
    <col min="4" max="7" width="9.44140625" style="7" customWidth="1"/>
    <col min="8" max="11" width="8.88671875" style="7" hidden="1" customWidth="1" outlineLevel="1"/>
    <col min="12" max="12" width="10.6640625" style="7" bestFit="1" customWidth="1" collapsed="1"/>
    <col min="13" max="15" width="8.88671875" style="7" hidden="1" customWidth="1" outlineLevel="1"/>
    <col min="16" max="16" width="8.6640625" style="7" hidden="1" customWidth="1" outlineLevel="1"/>
    <col min="17" max="17" width="10.6640625" style="7" bestFit="1" customWidth="1" collapsed="1"/>
    <col min="18" max="21" width="8.88671875" style="7" hidden="1" customWidth="1" outlineLevel="1"/>
    <col min="22" max="22" width="10.6640625" style="7" bestFit="1" customWidth="1" collapsed="1"/>
    <col min="23" max="26" width="8.88671875" style="7" hidden="1" customWidth="1" outlineLevel="1"/>
    <col min="27" max="27" width="10.6640625" style="7" bestFit="1" customWidth="1" collapsed="1"/>
    <col min="28" max="31" width="8.88671875" style="7" hidden="1" customWidth="1" outlineLevel="1"/>
    <col min="32" max="32" width="10.109375" style="7" bestFit="1" customWidth="1" collapsed="1"/>
    <col min="33" max="33" width="11.109375" style="7" bestFit="1" customWidth="1"/>
    <col min="34" max="16384" width="8.88671875" style="7"/>
  </cols>
  <sheetData>
    <row r="1" spans="1:34" s="257" customFormat="1" x14ac:dyDescent="0.3"/>
    <row r="2" spans="1:34" s="257" customFormat="1" x14ac:dyDescent="0.3"/>
    <row r="3" spans="1:34" s="258" customFormat="1" x14ac:dyDescent="0.3"/>
    <row r="4" spans="1:34" ht="15" thickBot="1" x14ac:dyDescent="0.35">
      <c r="B4" s="44" t="s">
        <v>95</v>
      </c>
      <c r="C4" s="11"/>
      <c r="D4" s="11"/>
      <c r="E4" s="11"/>
    </row>
    <row r="5" spans="1:34" ht="16.2" thickBot="1" x14ac:dyDescent="0.35">
      <c r="A5" s="29"/>
      <c r="B5" s="43" t="s">
        <v>70</v>
      </c>
      <c r="C5" s="230">
        <f>Dashboard!B17*1000</f>
        <v>30000</v>
      </c>
      <c r="D5" s="11"/>
      <c r="E5" s="11"/>
    </row>
    <row r="6" spans="1:34" x14ac:dyDescent="0.3">
      <c r="C6" s="11"/>
      <c r="H6" s="11"/>
    </row>
    <row r="7" spans="1:34" ht="15" thickBot="1" x14ac:dyDescent="0.35">
      <c r="B7" s="45" t="s">
        <v>140</v>
      </c>
      <c r="C7" s="30"/>
      <c r="H7" s="11"/>
    </row>
    <row r="8" spans="1:34" ht="15.6" x14ac:dyDescent="0.3">
      <c r="A8" s="29"/>
      <c r="B8" s="40">
        <v>2018</v>
      </c>
      <c r="C8" s="35">
        <v>0.26</v>
      </c>
      <c r="D8" s="19"/>
      <c r="H8" s="11"/>
    </row>
    <row r="9" spans="1:34" ht="15.6" x14ac:dyDescent="0.3">
      <c r="A9" s="29"/>
      <c r="B9" s="41">
        <v>2019</v>
      </c>
      <c r="C9" s="36">
        <v>0.23</v>
      </c>
      <c r="D9" s="19"/>
    </row>
    <row r="10" spans="1:34" ht="15.6" x14ac:dyDescent="0.3">
      <c r="A10" s="29"/>
      <c r="B10" s="41">
        <v>2020</v>
      </c>
      <c r="C10" s="36">
        <v>0.18</v>
      </c>
      <c r="D10" s="19"/>
    </row>
    <row r="11" spans="1:34" ht="15.6" x14ac:dyDescent="0.3">
      <c r="A11" s="29"/>
      <c r="B11" s="41">
        <v>2021</v>
      </c>
      <c r="C11" s="36">
        <v>0.17</v>
      </c>
      <c r="D11" s="19"/>
    </row>
    <row r="12" spans="1:34" ht="16.2" thickBot="1" x14ac:dyDescent="0.35">
      <c r="A12" s="29"/>
      <c r="B12" s="42">
        <v>2022</v>
      </c>
      <c r="C12" s="37">
        <f>1-C8-C9-C10-C11</f>
        <v>0.16</v>
      </c>
      <c r="D12" s="19"/>
    </row>
    <row r="13" spans="1:34" x14ac:dyDescent="0.3">
      <c r="C13" s="8"/>
    </row>
    <row r="14" spans="1:34" ht="15" thickBot="1" x14ac:dyDescent="0.35">
      <c r="B14" s="46" t="s">
        <v>71</v>
      </c>
    </row>
    <row r="15" spans="1:34" x14ac:dyDescent="0.3">
      <c r="B15" s="38" t="s">
        <v>97</v>
      </c>
      <c r="C15" s="31">
        <v>2018</v>
      </c>
      <c r="D15" s="9">
        <v>2019</v>
      </c>
      <c r="E15" s="9">
        <v>2020</v>
      </c>
      <c r="F15" s="9">
        <v>2021</v>
      </c>
      <c r="G15" s="10">
        <v>2022</v>
      </c>
      <c r="H15" s="64"/>
      <c r="I15" s="64"/>
      <c r="J15" s="64"/>
      <c r="K15" s="22"/>
      <c r="L15" s="22"/>
      <c r="M15" s="64"/>
      <c r="N15" s="64"/>
      <c r="O15" s="64"/>
      <c r="P15" s="64"/>
      <c r="Q15" s="64"/>
    </row>
    <row r="16" spans="1:34" ht="15.6" x14ac:dyDescent="0.3">
      <c r="B16" s="2" t="s">
        <v>60</v>
      </c>
      <c r="C16" s="59">
        <v>0.5</v>
      </c>
      <c r="D16" s="24">
        <v>0.5</v>
      </c>
      <c r="E16" s="24">
        <v>0.5</v>
      </c>
      <c r="F16" s="24">
        <v>0.5</v>
      </c>
      <c r="G16" s="60">
        <v>0.5</v>
      </c>
      <c r="K16" s="11"/>
      <c r="L16" s="11"/>
      <c r="Q16" s="26"/>
      <c r="V16" s="27"/>
      <c r="AA16" s="26"/>
      <c r="AF16" s="27"/>
      <c r="AG16" s="26"/>
      <c r="AH16" s="25"/>
    </row>
    <row r="17" spans="2:34" ht="15.6" x14ac:dyDescent="0.3">
      <c r="B17" s="2" t="s">
        <v>61</v>
      </c>
      <c r="C17" s="59">
        <v>5.3999999999999999E-2</v>
      </c>
      <c r="D17" s="24">
        <v>5.7000000000000002E-2</v>
      </c>
      <c r="E17" s="24">
        <v>7.0000000000000007E-2</v>
      </c>
      <c r="F17" s="24">
        <v>0.08</v>
      </c>
      <c r="G17" s="60">
        <v>5.8999999999999997E-2</v>
      </c>
      <c r="K17" s="11"/>
      <c r="L17" s="11"/>
      <c r="Q17" s="26"/>
      <c r="V17" s="27"/>
      <c r="AA17" s="26"/>
      <c r="AF17" s="27"/>
      <c r="AG17" s="26"/>
      <c r="AH17" s="25"/>
    </row>
    <row r="18" spans="2:34" ht="15.6" x14ac:dyDescent="0.3">
      <c r="B18" s="2" t="s">
        <v>62</v>
      </c>
      <c r="C18" s="59">
        <v>4.3999999999999997E-2</v>
      </c>
      <c r="D18" s="24">
        <v>4.8000000000000001E-2</v>
      </c>
      <c r="E18" s="24">
        <v>4.8000000000000001E-2</v>
      </c>
      <c r="F18" s="24">
        <v>4.8000000000000001E-2</v>
      </c>
      <c r="G18" s="60">
        <v>4.8000000000000001E-2</v>
      </c>
      <c r="K18" s="11"/>
      <c r="L18" s="11"/>
      <c r="Q18" s="26"/>
      <c r="V18" s="27"/>
      <c r="AA18" s="26"/>
      <c r="AF18" s="27"/>
      <c r="AG18" s="26"/>
      <c r="AH18" s="25"/>
    </row>
    <row r="19" spans="2:34" ht="15.6" x14ac:dyDescent="0.3">
      <c r="B19" s="2" t="s">
        <v>146</v>
      </c>
      <c r="C19" s="59">
        <v>6.7000000000000004E-2</v>
      </c>
      <c r="D19" s="24">
        <v>7.0999999999999994E-2</v>
      </c>
      <c r="E19" s="24">
        <v>7.0999999999999994E-2</v>
      </c>
      <c r="F19" s="24">
        <v>7.1999999999999995E-2</v>
      </c>
      <c r="G19" s="60">
        <v>7.0999999999999994E-2</v>
      </c>
      <c r="K19" s="11"/>
      <c r="L19" s="11"/>
      <c r="Q19" s="26"/>
      <c r="V19" s="27"/>
      <c r="AA19" s="26"/>
      <c r="AF19" s="27"/>
      <c r="AG19" s="26"/>
      <c r="AH19" s="25"/>
    </row>
    <row r="20" spans="2:34" ht="15.6" x14ac:dyDescent="0.3">
      <c r="B20" s="2" t="s">
        <v>63</v>
      </c>
      <c r="C20" s="59">
        <v>0.05</v>
      </c>
      <c r="D20" s="24">
        <v>0.04</v>
      </c>
      <c r="E20" s="24">
        <v>0.03</v>
      </c>
      <c r="F20" s="24">
        <v>0.03</v>
      </c>
      <c r="G20" s="60">
        <v>0.03</v>
      </c>
      <c r="K20" s="11"/>
      <c r="L20" s="11"/>
      <c r="Q20" s="26"/>
      <c r="V20" s="27"/>
      <c r="AA20" s="26"/>
      <c r="AF20" s="27"/>
      <c r="AG20" s="26"/>
      <c r="AH20" s="25"/>
    </row>
    <row r="21" spans="2:34" ht="15.6" x14ac:dyDescent="0.3">
      <c r="B21" s="2" t="s">
        <v>64</v>
      </c>
      <c r="C21" s="59">
        <v>0.06</v>
      </c>
      <c r="D21" s="24">
        <v>0.05</v>
      </c>
      <c r="E21" s="24">
        <v>0.04</v>
      </c>
      <c r="F21" s="24">
        <v>0.04</v>
      </c>
      <c r="G21" s="60">
        <v>0.04</v>
      </c>
      <c r="K21" s="11"/>
      <c r="L21" s="11"/>
      <c r="Q21" s="26"/>
      <c r="V21" s="27"/>
      <c r="AA21" s="26"/>
      <c r="AF21" s="27"/>
      <c r="AG21" s="26"/>
      <c r="AH21" s="25"/>
    </row>
    <row r="22" spans="2:34" ht="15.6" x14ac:dyDescent="0.3">
      <c r="B22" s="2" t="s">
        <v>65</v>
      </c>
      <c r="C22" s="59">
        <v>0.11600000000000001</v>
      </c>
      <c r="D22" s="24">
        <v>6.4000000000000001E-2</v>
      </c>
      <c r="E22" s="24">
        <v>6.4000000000000001E-2</v>
      </c>
      <c r="F22" s="24">
        <v>6.4000000000000001E-2</v>
      </c>
      <c r="G22" s="60">
        <v>6.4000000000000001E-2</v>
      </c>
      <c r="K22" s="11"/>
      <c r="L22" s="11"/>
      <c r="Q22" s="26"/>
      <c r="V22" s="27"/>
      <c r="AA22" s="26"/>
      <c r="AF22" s="27"/>
      <c r="AG22" s="26"/>
      <c r="AH22" s="25"/>
    </row>
    <row r="23" spans="2:34" ht="15.6" x14ac:dyDescent="0.3">
      <c r="B23" s="2" t="s">
        <v>105</v>
      </c>
      <c r="C23" s="59">
        <v>2.8000000000000001E-2</v>
      </c>
      <c r="D23" s="24">
        <v>2.8000000000000001E-2</v>
      </c>
      <c r="E23" s="24">
        <v>2.8000000000000001E-2</v>
      </c>
      <c r="F23" s="24">
        <v>2.8000000000000001E-2</v>
      </c>
      <c r="G23" s="60">
        <v>2.8000000000000001E-2</v>
      </c>
      <c r="K23" s="11"/>
      <c r="L23" s="11"/>
      <c r="Q23" s="26"/>
      <c r="V23" s="27"/>
      <c r="AA23" s="26"/>
      <c r="AF23" s="27"/>
      <c r="AG23" s="26"/>
      <c r="AH23" s="25"/>
    </row>
    <row r="24" spans="2:34" ht="15.6" x14ac:dyDescent="0.3">
      <c r="B24" s="2" t="s">
        <v>198</v>
      </c>
      <c r="C24" s="59">
        <v>0.06</v>
      </c>
      <c r="D24" s="24">
        <v>7.0000000000000007E-2</v>
      </c>
      <c r="E24" s="24">
        <v>0.08</v>
      </c>
      <c r="F24" s="24">
        <v>0.08</v>
      </c>
      <c r="G24" s="60">
        <v>0.08</v>
      </c>
      <c r="K24" s="11"/>
      <c r="L24" s="11"/>
      <c r="M24" s="11"/>
      <c r="N24" s="11"/>
      <c r="O24" s="11"/>
      <c r="P24" s="11"/>
      <c r="Q24" s="33"/>
      <c r="R24" s="11"/>
      <c r="S24" s="11"/>
      <c r="T24" s="11"/>
      <c r="U24" s="11"/>
      <c r="V24" s="34"/>
      <c r="W24" s="11"/>
      <c r="X24" s="11"/>
      <c r="Y24" s="11"/>
      <c r="Z24" s="11"/>
      <c r="AA24" s="33"/>
      <c r="AB24" s="11"/>
      <c r="AC24" s="11"/>
      <c r="AD24" s="11"/>
      <c r="AE24" s="11"/>
      <c r="AF24" s="34"/>
      <c r="AG24" s="26"/>
      <c r="AH24" s="25"/>
    </row>
    <row r="25" spans="2:34" ht="16.2" thickBot="1" x14ac:dyDescent="0.35">
      <c r="B25" s="32" t="s">
        <v>8</v>
      </c>
      <c r="C25" s="61">
        <f>1-SUM(C16:C24)</f>
        <v>2.0999999999999908E-2</v>
      </c>
      <c r="D25" s="62">
        <f t="shared" ref="D25:G25" si="0">1-SUM(D16:D24)</f>
        <v>7.1999999999999842E-2</v>
      </c>
      <c r="E25" s="62">
        <f t="shared" si="0"/>
        <v>6.8999999999999839E-2</v>
      </c>
      <c r="F25" s="62">
        <f t="shared" si="0"/>
        <v>5.799999999999994E-2</v>
      </c>
      <c r="G25" s="63">
        <f t="shared" si="0"/>
        <v>7.999999999999996E-2</v>
      </c>
      <c r="K25" s="11"/>
      <c r="L25" s="11"/>
      <c r="M25" s="11"/>
      <c r="N25" s="11"/>
      <c r="O25" s="11"/>
      <c r="P25" s="11"/>
      <c r="Q25" s="33"/>
      <c r="R25" s="11"/>
      <c r="S25" s="11"/>
      <c r="T25" s="11"/>
      <c r="U25" s="11"/>
      <c r="V25" s="34"/>
      <c r="W25" s="11"/>
      <c r="X25" s="11"/>
      <c r="Y25" s="11"/>
      <c r="Z25" s="11"/>
      <c r="AA25" s="33"/>
      <c r="AB25" s="11"/>
      <c r="AC25" s="11"/>
      <c r="AD25" s="11"/>
      <c r="AE25" s="11"/>
      <c r="AF25" s="34"/>
      <c r="AG25" s="26"/>
      <c r="AH25" s="25"/>
    </row>
    <row r="26" spans="2:34" x14ac:dyDescent="0.3">
      <c r="B26" s="20"/>
      <c r="C26" s="21"/>
      <c r="D26" s="21"/>
      <c r="E26" s="21"/>
      <c r="F26" s="21"/>
      <c r="G26" s="21"/>
      <c r="K26" s="11"/>
      <c r="L26" s="11"/>
      <c r="M26" s="11"/>
      <c r="N26" s="11"/>
      <c r="O26" s="11"/>
      <c r="P26" s="11"/>
      <c r="Q26" s="11"/>
      <c r="R26" s="11"/>
      <c r="S26" s="11"/>
      <c r="T26" s="11"/>
      <c r="U26" s="11"/>
      <c r="V26" s="11"/>
      <c r="W26" s="11"/>
      <c r="X26" s="11"/>
      <c r="Y26" s="11"/>
      <c r="Z26" s="11"/>
      <c r="AA26" s="11"/>
      <c r="AB26" s="11"/>
      <c r="AC26" s="11"/>
      <c r="AD26" s="11"/>
      <c r="AE26" s="11"/>
      <c r="AF26" s="11"/>
    </row>
    <row r="27" spans="2:34" ht="15" thickBot="1" x14ac:dyDescent="0.35">
      <c r="B27" s="46" t="s">
        <v>163</v>
      </c>
      <c r="C27" s="21"/>
      <c r="D27" s="21"/>
      <c r="E27" s="21"/>
      <c r="F27" s="21"/>
      <c r="G27" s="21"/>
      <c r="K27" s="11"/>
      <c r="L27" s="11"/>
      <c r="M27" s="11"/>
      <c r="N27" s="11"/>
      <c r="O27" s="11"/>
      <c r="P27" s="11"/>
      <c r="Q27" s="11"/>
      <c r="R27" s="11"/>
      <c r="S27" s="11"/>
      <c r="T27" s="11"/>
      <c r="U27" s="11"/>
      <c r="V27" s="11"/>
      <c r="W27" s="11"/>
      <c r="X27" s="11"/>
      <c r="Y27" s="11"/>
      <c r="Z27" s="11"/>
      <c r="AA27" s="11"/>
      <c r="AB27" s="11"/>
      <c r="AC27" s="11"/>
      <c r="AD27" s="11"/>
      <c r="AE27" s="11"/>
      <c r="AF27" s="11"/>
      <c r="AH27" s="11"/>
    </row>
    <row r="28" spans="2:34" x14ac:dyDescent="0.3">
      <c r="B28" s="38" t="s">
        <v>96</v>
      </c>
      <c r="C28" s="231">
        <v>2018</v>
      </c>
      <c r="D28" s="232">
        <v>2019</v>
      </c>
      <c r="E28" s="232">
        <v>2020</v>
      </c>
      <c r="F28" s="232">
        <v>2021</v>
      </c>
      <c r="G28" s="233">
        <v>2022</v>
      </c>
      <c r="H28" s="64"/>
      <c r="I28" s="64"/>
      <c r="J28" s="64"/>
      <c r="K28" s="22"/>
      <c r="L28" s="22"/>
    </row>
    <row r="29" spans="2:34" ht="15.6" x14ac:dyDescent="0.3">
      <c r="B29" s="264" t="s">
        <v>85</v>
      </c>
      <c r="C29" s="263">
        <v>0.7</v>
      </c>
      <c r="D29" s="263">
        <v>0.6</v>
      </c>
      <c r="E29" s="263">
        <v>0.55000000000000004</v>
      </c>
      <c r="F29" s="263">
        <v>0.5</v>
      </c>
      <c r="G29" s="263">
        <v>0.5</v>
      </c>
      <c r="H29" s="585"/>
      <c r="I29" s="586"/>
      <c r="J29" s="586"/>
      <c r="K29" s="586"/>
      <c r="L29" s="586"/>
    </row>
    <row r="30" spans="2:34" ht="15.6" x14ac:dyDescent="0.3">
      <c r="B30" s="2" t="s">
        <v>84</v>
      </c>
      <c r="C30" s="435">
        <f>(1-C29)</f>
        <v>0.30000000000000004</v>
      </c>
      <c r="D30" s="435">
        <f t="shared" ref="D30:G30" si="1">(1-D29)</f>
        <v>0.4</v>
      </c>
      <c r="E30" s="435">
        <f t="shared" si="1"/>
        <v>0.44999999999999996</v>
      </c>
      <c r="F30" s="435">
        <f t="shared" si="1"/>
        <v>0.5</v>
      </c>
      <c r="G30" s="435">
        <f t="shared" si="1"/>
        <v>0.5</v>
      </c>
      <c r="H30" s="585"/>
      <c r="I30" s="586"/>
      <c r="J30" s="586"/>
      <c r="K30" s="586"/>
      <c r="L30" s="586"/>
    </row>
    <row r="31" spans="2:34" ht="15.6" customHeight="1" x14ac:dyDescent="0.3">
      <c r="B31" s="587" t="s">
        <v>218</v>
      </c>
      <c r="C31" s="587"/>
      <c r="D31" s="587"/>
      <c r="E31" s="587"/>
      <c r="F31" s="587"/>
      <c r="G31" s="587"/>
      <c r="H31" s="586"/>
      <c r="I31" s="586"/>
      <c r="J31" s="586"/>
      <c r="K31" s="586"/>
      <c r="L31" s="586"/>
    </row>
    <row r="32" spans="2:34" ht="29.25" customHeight="1" x14ac:dyDescent="0.3">
      <c r="B32" s="587"/>
      <c r="C32" s="587"/>
      <c r="D32" s="587"/>
      <c r="E32" s="587"/>
      <c r="F32" s="587"/>
      <c r="G32" s="587"/>
      <c r="H32" s="586"/>
      <c r="I32" s="586"/>
      <c r="J32" s="586"/>
      <c r="K32" s="586"/>
      <c r="L32" s="586"/>
    </row>
    <row r="33" spans="1:37" x14ac:dyDescent="0.3">
      <c r="B33" s="20"/>
      <c r="C33" s="304"/>
      <c r="D33" s="21"/>
      <c r="E33" s="21"/>
      <c r="F33" s="21"/>
      <c r="G33" s="21"/>
      <c r="K33" s="11"/>
      <c r="L33" s="11"/>
    </row>
    <row r="34" spans="1:37" ht="15" thickBot="1" x14ac:dyDescent="0.35">
      <c r="B34" s="46" t="s">
        <v>72</v>
      </c>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row>
    <row r="35" spans="1:37" s="17" customFormat="1" ht="15.6" x14ac:dyDescent="0.3">
      <c r="A35" s="28"/>
      <c r="B35" s="588" t="s">
        <v>73</v>
      </c>
      <c r="C35" s="589"/>
      <c r="D35" s="589"/>
      <c r="E35" s="589"/>
      <c r="F35" s="589"/>
      <c r="G35" s="589"/>
      <c r="H35" s="265" t="s">
        <v>24</v>
      </c>
      <c r="I35" s="266" t="s">
        <v>25</v>
      </c>
      <c r="J35" s="266" t="s">
        <v>26</v>
      </c>
      <c r="K35" s="267" t="s">
        <v>27</v>
      </c>
      <c r="L35" s="234">
        <v>2018</v>
      </c>
      <c r="M35" s="266" t="s">
        <v>31</v>
      </c>
      <c r="N35" s="266" t="s">
        <v>30</v>
      </c>
      <c r="O35" s="266" t="s">
        <v>29</v>
      </c>
      <c r="P35" s="266" t="s">
        <v>28</v>
      </c>
      <c r="Q35" s="234">
        <v>2019</v>
      </c>
      <c r="R35" s="266" t="s">
        <v>32</v>
      </c>
      <c r="S35" s="266" t="s">
        <v>33</v>
      </c>
      <c r="T35" s="266" t="s">
        <v>34</v>
      </c>
      <c r="U35" s="266" t="s">
        <v>35</v>
      </c>
      <c r="V35" s="234">
        <v>2020</v>
      </c>
      <c r="W35" s="266" t="s">
        <v>36</v>
      </c>
      <c r="X35" s="266" t="s">
        <v>37</v>
      </c>
      <c r="Y35" s="266" t="s">
        <v>38</v>
      </c>
      <c r="Z35" s="266" t="s">
        <v>39</v>
      </c>
      <c r="AA35" s="234">
        <v>2021</v>
      </c>
      <c r="AB35" s="266" t="s">
        <v>41</v>
      </c>
      <c r="AC35" s="266" t="s">
        <v>42</v>
      </c>
      <c r="AD35" s="266" t="s">
        <v>43</v>
      </c>
      <c r="AE35" s="266" t="s">
        <v>40</v>
      </c>
      <c r="AF35" s="234">
        <v>2022</v>
      </c>
      <c r="AG35" s="235" t="s">
        <v>74</v>
      </c>
    </row>
    <row r="36" spans="1:37" x14ac:dyDescent="0.3">
      <c r="A36" s="29"/>
      <c r="B36" s="580" t="s">
        <v>60</v>
      </c>
      <c r="C36" s="581"/>
      <c r="D36" s="581"/>
      <c r="E36" s="581"/>
      <c r="F36" s="581"/>
      <c r="G36" s="581"/>
      <c r="H36" s="12">
        <f>$L36/4</f>
        <v>975</v>
      </c>
      <c r="I36" s="13">
        <f>$L36/4</f>
        <v>975</v>
      </c>
      <c r="J36" s="13">
        <f>$L36/4</f>
        <v>975</v>
      </c>
      <c r="K36" s="14">
        <f>$L36/4</f>
        <v>975</v>
      </c>
      <c r="L36" s="15">
        <f t="shared" ref="L36:L45" si="2">C16*$C$8*$C$5</f>
        <v>3900</v>
      </c>
      <c r="M36" s="13">
        <f>$Q36/4</f>
        <v>862.5</v>
      </c>
      <c r="N36" s="13">
        <f>$Q36/4</f>
        <v>862.5</v>
      </c>
      <c r="O36" s="13">
        <f>$Q36/4</f>
        <v>862.5</v>
      </c>
      <c r="P36" s="13">
        <f>$Q36/4</f>
        <v>862.5</v>
      </c>
      <c r="Q36" s="15">
        <f t="shared" ref="Q36:Q45" si="3">D16*$C$5*$C$9</f>
        <v>3450</v>
      </c>
      <c r="R36" s="13">
        <f>$V36/4</f>
        <v>675</v>
      </c>
      <c r="S36" s="13">
        <f>$V36/4</f>
        <v>675</v>
      </c>
      <c r="T36" s="13">
        <f>$V36/4</f>
        <v>675</v>
      </c>
      <c r="U36" s="13">
        <f>$V36/4</f>
        <v>675</v>
      </c>
      <c r="V36" s="15">
        <f t="shared" ref="V36:V45" si="4">E16*$C$5*$C$10</f>
        <v>2700</v>
      </c>
      <c r="W36" s="13">
        <f>$AA36/4</f>
        <v>637.5</v>
      </c>
      <c r="X36" s="13">
        <f>$AA36/4</f>
        <v>637.5</v>
      </c>
      <c r="Y36" s="13">
        <f>$AA36/4</f>
        <v>637.5</v>
      </c>
      <c r="Z36" s="13">
        <f>$AA36/4</f>
        <v>637.5</v>
      </c>
      <c r="AA36" s="15">
        <f t="shared" ref="AA36:AA45" si="5">F16*$C$5*$C$11</f>
        <v>2550</v>
      </c>
      <c r="AB36" s="13">
        <f>$AF36/4</f>
        <v>600</v>
      </c>
      <c r="AC36" s="13">
        <f>$AF36/4</f>
        <v>600</v>
      </c>
      <c r="AD36" s="13">
        <f>$AF36/4</f>
        <v>600</v>
      </c>
      <c r="AE36" s="13">
        <f>$AF36/4</f>
        <v>600</v>
      </c>
      <c r="AF36" s="47">
        <f t="shared" ref="AF36:AF45" si="6">G16*$C$5*$C$12</f>
        <v>2400</v>
      </c>
      <c r="AG36" s="39">
        <f>AF36+AA36+V36+Q36+L36</f>
        <v>15000</v>
      </c>
      <c r="AH36" s="11"/>
    </row>
    <row r="37" spans="1:37" s="11" customFormat="1" x14ac:dyDescent="0.3">
      <c r="A37" s="29"/>
      <c r="B37" s="580" t="s">
        <v>61</v>
      </c>
      <c r="C37" s="581"/>
      <c r="D37" s="581"/>
      <c r="E37" s="581"/>
      <c r="F37" s="581"/>
      <c r="G37" s="581"/>
      <c r="H37" s="12">
        <f t="shared" ref="H37:I46" si="7">$L37/4</f>
        <v>105.3</v>
      </c>
      <c r="I37" s="13">
        <f t="shared" si="7"/>
        <v>105.3</v>
      </c>
      <c r="J37" s="13">
        <f t="shared" ref="J37:K46" si="8">$L37/4</f>
        <v>105.3</v>
      </c>
      <c r="K37" s="14">
        <f t="shared" si="8"/>
        <v>105.3</v>
      </c>
      <c r="L37" s="15">
        <f t="shared" si="2"/>
        <v>421.2</v>
      </c>
      <c r="M37" s="13">
        <f t="shared" ref="M37:P45" si="9">$Q37/4</f>
        <v>98.325000000000003</v>
      </c>
      <c r="N37" s="13">
        <f t="shared" si="9"/>
        <v>98.325000000000003</v>
      </c>
      <c r="O37" s="13">
        <f t="shared" si="9"/>
        <v>98.325000000000003</v>
      </c>
      <c r="P37" s="13">
        <f t="shared" si="9"/>
        <v>98.325000000000003</v>
      </c>
      <c r="Q37" s="15">
        <f t="shared" si="3"/>
        <v>393.3</v>
      </c>
      <c r="R37" s="13">
        <f t="shared" ref="R37:U45" si="10">$V37/4</f>
        <v>94.5</v>
      </c>
      <c r="S37" s="13">
        <f t="shared" si="10"/>
        <v>94.5</v>
      </c>
      <c r="T37" s="13">
        <f t="shared" si="10"/>
        <v>94.5</v>
      </c>
      <c r="U37" s="13">
        <f t="shared" si="10"/>
        <v>94.5</v>
      </c>
      <c r="V37" s="15">
        <f t="shared" si="4"/>
        <v>378</v>
      </c>
      <c r="W37" s="13">
        <f t="shared" ref="W37:Z45" si="11">$AA37/4</f>
        <v>102.00000000000001</v>
      </c>
      <c r="X37" s="13">
        <f t="shared" si="11"/>
        <v>102.00000000000001</v>
      </c>
      <c r="Y37" s="13">
        <f t="shared" si="11"/>
        <v>102.00000000000001</v>
      </c>
      <c r="Z37" s="13">
        <f t="shared" si="11"/>
        <v>102.00000000000001</v>
      </c>
      <c r="AA37" s="15">
        <f t="shared" si="5"/>
        <v>408.00000000000006</v>
      </c>
      <c r="AB37" s="13">
        <f t="shared" ref="AB37:AE45" si="12">$AF37/4</f>
        <v>70.8</v>
      </c>
      <c r="AC37" s="13">
        <f t="shared" si="12"/>
        <v>70.8</v>
      </c>
      <c r="AD37" s="13">
        <f t="shared" si="12"/>
        <v>70.8</v>
      </c>
      <c r="AE37" s="13">
        <f t="shared" si="12"/>
        <v>70.8</v>
      </c>
      <c r="AF37" s="15">
        <f t="shared" si="6"/>
        <v>283.2</v>
      </c>
      <c r="AG37" s="39">
        <f t="shared" ref="AG37:AG45" si="13">AF37+AA37+V37+Q37+L37</f>
        <v>1883.7</v>
      </c>
    </row>
    <row r="38" spans="1:37" s="11" customFormat="1" x14ac:dyDescent="0.3">
      <c r="A38" s="29"/>
      <c r="B38" s="580" t="s">
        <v>62</v>
      </c>
      <c r="C38" s="581"/>
      <c r="D38" s="581"/>
      <c r="E38" s="581"/>
      <c r="F38" s="581"/>
      <c r="G38" s="581"/>
      <c r="H38" s="12">
        <f t="shared" si="7"/>
        <v>85.8</v>
      </c>
      <c r="I38" s="13">
        <f t="shared" si="7"/>
        <v>85.8</v>
      </c>
      <c r="J38" s="13">
        <f t="shared" si="8"/>
        <v>85.8</v>
      </c>
      <c r="K38" s="14">
        <f t="shared" si="8"/>
        <v>85.8</v>
      </c>
      <c r="L38" s="15">
        <f t="shared" si="2"/>
        <v>343.2</v>
      </c>
      <c r="M38" s="13">
        <f t="shared" si="9"/>
        <v>82.8</v>
      </c>
      <c r="N38" s="13">
        <f t="shared" si="9"/>
        <v>82.8</v>
      </c>
      <c r="O38" s="13">
        <f t="shared" si="9"/>
        <v>82.8</v>
      </c>
      <c r="P38" s="13">
        <f t="shared" si="9"/>
        <v>82.8</v>
      </c>
      <c r="Q38" s="15">
        <f t="shared" si="3"/>
        <v>331.2</v>
      </c>
      <c r="R38" s="13">
        <f t="shared" si="10"/>
        <v>64.8</v>
      </c>
      <c r="S38" s="13">
        <f t="shared" si="10"/>
        <v>64.8</v>
      </c>
      <c r="T38" s="13">
        <f t="shared" si="10"/>
        <v>64.8</v>
      </c>
      <c r="U38" s="13">
        <f>$V38/4</f>
        <v>64.8</v>
      </c>
      <c r="V38" s="15">
        <f t="shared" si="4"/>
        <v>259.2</v>
      </c>
      <c r="W38" s="13">
        <f t="shared" si="11"/>
        <v>61.2</v>
      </c>
      <c r="X38" s="13">
        <f t="shared" si="11"/>
        <v>61.2</v>
      </c>
      <c r="Y38" s="13">
        <f t="shared" si="11"/>
        <v>61.2</v>
      </c>
      <c r="Z38" s="13">
        <f t="shared" si="11"/>
        <v>61.2</v>
      </c>
      <c r="AA38" s="15">
        <f t="shared" si="5"/>
        <v>244.8</v>
      </c>
      <c r="AB38" s="13">
        <f t="shared" si="12"/>
        <v>57.6</v>
      </c>
      <c r="AC38" s="13">
        <f t="shared" si="12"/>
        <v>57.6</v>
      </c>
      <c r="AD38" s="13">
        <f t="shared" si="12"/>
        <v>57.6</v>
      </c>
      <c r="AE38" s="13">
        <f t="shared" si="12"/>
        <v>57.6</v>
      </c>
      <c r="AF38" s="15">
        <f t="shared" si="6"/>
        <v>230.4</v>
      </c>
      <c r="AG38" s="39">
        <f t="shared" si="13"/>
        <v>1408.8000000000002</v>
      </c>
    </row>
    <row r="39" spans="1:37" s="11" customFormat="1" x14ac:dyDescent="0.3">
      <c r="A39" s="29"/>
      <c r="B39" s="580" t="s">
        <v>146</v>
      </c>
      <c r="C39" s="581"/>
      <c r="D39" s="581"/>
      <c r="E39" s="581"/>
      <c r="F39" s="581"/>
      <c r="G39" s="581"/>
      <c r="H39" s="12">
        <f t="shared" si="7"/>
        <v>130.65</v>
      </c>
      <c r="I39" s="13">
        <f t="shared" si="7"/>
        <v>130.65</v>
      </c>
      <c r="J39" s="13">
        <f t="shared" si="8"/>
        <v>130.65</v>
      </c>
      <c r="K39" s="14">
        <f t="shared" si="8"/>
        <v>130.65</v>
      </c>
      <c r="L39" s="15">
        <f t="shared" si="2"/>
        <v>522.6</v>
      </c>
      <c r="M39" s="13">
        <f t="shared" si="9"/>
        <v>122.47500000000001</v>
      </c>
      <c r="N39" s="13">
        <f t="shared" si="9"/>
        <v>122.47500000000001</v>
      </c>
      <c r="O39" s="13">
        <f t="shared" si="9"/>
        <v>122.47500000000001</v>
      </c>
      <c r="P39" s="13">
        <f t="shared" si="9"/>
        <v>122.47500000000001</v>
      </c>
      <c r="Q39" s="15">
        <f t="shared" si="3"/>
        <v>489.90000000000003</v>
      </c>
      <c r="R39" s="13">
        <f t="shared" si="10"/>
        <v>95.85</v>
      </c>
      <c r="S39" s="13">
        <f t="shared" si="10"/>
        <v>95.85</v>
      </c>
      <c r="T39" s="13">
        <f t="shared" si="10"/>
        <v>95.85</v>
      </c>
      <c r="U39" s="13">
        <f t="shared" si="10"/>
        <v>95.85</v>
      </c>
      <c r="V39" s="15">
        <f t="shared" si="4"/>
        <v>383.4</v>
      </c>
      <c r="W39" s="13">
        <f t="shared" si="11"/>
        <v>91.800000000000011</v>
      </c>
      <c r="X39" s="13">
        <f t="shared" si="11"/>
        <v>91.800000000000011</v>
      </c>
      <c r="Y39" s="13">
        <f t="shared" si="11"/>
        <v>91.800000000000011</v>
      </c>
      <c r="Z39" s="13">
        <f t="shared" si="11"/>
        <v>91.800000000000011</v>
      </c>
      <c r="AA39" s="15">
        <f t="shared" si="5"/>
        <v>367.20000000000005</v>
      </c>
      <c r="AB39" s="13">
        <f t="shared" si="12"/>
        <v>85.2</v>
      </c>
      <c r="AC39" s="13">
        <f t="shared" si="12"/>
        <v>85.2</v>
      </c>
      <c r="AD39" s="13">
        <f t="shared" si="12"/>
        <v>85.2</v>
      </c>
      <c r="AE39" s="13">
        <f t="shared" si="12"/>
        <v>85.2</v>
      </c>
      <c r="AF39" s="15">
        <f t="shared" si="6"/>
        <v>340.8</v>
      </c>
      <c r="AG39" s="39">
        <f t="shared" si="13"/>
        <v>2103.9</v>
      </c>
    </row>
    <row r="40" spans="1:37" s="11" customFormat="1" x14ac:dyDescent="0.3">
      <c r="A40" s="29"/>
      <c r="B40" s="580" t="s">
        <v>63</v>
      </c>
      <c r="C40" s="581"/>
      <c r="D40" s="581"/>
      <c r="E40" s="581"/>
      <c r="F40" s="581"/>
      <c r="G40" s="581"/>
      <c r="H40" s="12">
        <f t="shared" si="7"/>
        <v>97.500000000000014</v>
      </c>
      <c r="I40" s="13">
        <f t="shared" si="7"/>
        <v>97.500000000000014</v>
      </c>
      <c r="J40" s="13">
        <f t="shared" si="8"/>
        <v>97.500000000000014</v>
      </c>
      <c r="K40" s="14">
        <f t="shared" si="8"/>
        <v>97.500000000000014</v>
      </c>
      <c r="L40" s="15">
        <f t="shared" si="2"/>
        <v>390.00000000000006</v>
      </c>
      <c r="M40" s="13">
        <f t="shared" si="9"/>
        <v>69</v>
      </c>
      <c r="N40" s="13">
        <f t="shared" si="9"/>
        <v>69</v>
      </c>
      <c r="O40" s="13">
        <f t="shared" si="9"/>
        <v>69</v>
      </c>
      <c r="P40" s="13">
        <f t="shared" si="9"/>
        <v>69</v>
      </c>
      <c r="Q40" s="15">
        <f t="shared" si="3"/>
        <v>276</v>
      </c>
      <c r="R40" s="13">
        <f t="shared" si="10"/>
        <v>40.5</v>
      </c>
      <c r="S40" s="13">
        <f t="shared" si="10"/>
        <v>40.5</v>
      </c>
      <c r="T40" s="13">
        <f t="shared" si="10"/>
        <v>40.5</v>
      </c>
      <c r="U40" s="13">
        <f t="shared" si="10"/>
        <v>40.5</v>
      </c>
      <c r="V40" s="15">
        <f t="shared" si="4"/>
        <v>162</v>
      </c>
      <c r="W40" s="13">
        <f t="shared" si="11"/>
        <v>38.25</v>
      </c>
      <c r="X40" s="13">
        <f t="shared" si="11"/>
        <v>38.25</v>
      </c>
      <c r="Y40" s="13">
        <f t="shared" si="11"/>
        <v>38.25</v>
      </c>
      <c r="Z40" s="13">
        <f t="shared" si="11"/>
        <v>38.25</v>
      </c>
      <c r="AA40" s="15">
        <f t="shared" si="5"/>
        <v>153</v>
      </c>
      <c r="AB40" s="13">
        <f t="shared" si="12"/>
        <v>36</v>
      </c>
      <c r="AC40" s="13">
        <f t="shared" si="12"/>
        <v>36</v>
      </c>
      <c r="AD40" s="13">
        <f t="shared" si="12"/>
        <v>36</v>
      </c>
      <c r="AE40" s="13">
        <f t="shared" si="12"/>
        <v>36</v>
      </c>
      <c r="AF40" s="15">
        <f t="shared" si="6"/>
        <v>144</v>
      </c>
      <c r="AG40" s="39">
        <f t="shared" si="13"/>
        <v>1125</v>
      </c>
    </row>
    <row r="41" spans="1:37" s="11" customFormat="1" x14ac:dyDescent="0.3">
      <c r="A41" s="29"/>
      <c r="B41" s="580" t="s">
        <v>64</v>
      </c>
      <c r="C41" s="581"/>
      <c r="D41" s="581"/>
      <c r="E41" s="581"/>
      <c r="F41" s="581"/>
      <c r="G41" s="581"/>
      <c r="H41" s="12">
        <f t="shared" si="7"/>
        <v>117</v>
      </c>
      <c r="I41" s="13">
        <f t="shared" si="7"/>
        <v>117</v>
      </c>
      <c r="J41" s="13">
        <f t="shared" si="8"/>
        <v>117</v>
      </c>
      <c r="K41" s="14">
        <f t="shared" si="8"/>
        <v>117</v>
      </c>
      <c r="L41" s="15">
        <f t="shared" si="2"/>
        <v>468</v>
      </c>
      <c r="M41" s="13">
        <f t="shared" si="9"/>
        <v>86.25</v>
      </c>
      <c r="N41" s="13">
        <f t="shared" si="9"/>
        <v>86.25</v>
      </c>
      <c r="O41" s="13">
        <f t="shared" si="9"/>
        <v>86.25</v>
      </c>
      <c r="P41" s="13">
        <f t="shared" si="9"/>
        <v>86.25</v>
      </c>
      <c r="Q41" s="15">
        <f t="shared" si="3"/>
        <v>345</v>
      </c>
      <c r="R41" s="13">
        <f t="shared" si="10"/>
        <v>54</v>
      </c>
      <c r="S41" s="13">
        <f t="shared" si="10"/>
        <v>54</v>
      </c>
      <c r="T41" s="13">
        <f t="shared" si="10"/>
        <v>54</v>
      </c>
      <c r="U41" s="13">
        <f t="shared" si="10"/>
        <v>54</v>
      </c>
      <c r="V41" s="15">
        <f t="shared" si="4"/>
        <v>216</v>
      </c>
      <c r="W41" s="13">
        <f t="shared" si="11"/>
        <v>51.000000000000007</v>
      </c>
      <c r="X41" s="13">
        <f t="shared" si="11"/>
        <v>51.000000000000007</v>
      </c>
      <c r="Y41" s="13">
        <f t="shared" si="11"/>
        <v>51.000000000000007</v>
      </c>
      <c r="Z41" s="13">
        <f t="shared" si="11"/>
        <v>51.000000000000007</v>
      </c>
      <c r="AA41" s="15">
        <f t="shared" si="5"/>
        <v>204.00000000000003</v>
      </c>
      <c r="AB41" s="13">
        <f t="shared" si="12"/>
        <v>48</v>
      </c>
      <c r="AC41" s="13">
        <f t="shared" si="12"/>
        <v>48</v>
      </c>
      <c r="AD41" s="13">
        <f t="shared" si="12"/>
        <v>48</v>
      </c>
      <c r="AE41" s="13">
        <f t="shared" si="12"/>
        <v>48</v>
      </c>
      <c r="AF41" s="15">
        <f t="shared" si="6"/>
        <v>192</v>
      </c>
      <c r="AG41" s="39">
        <f t="shared" si="13"/>
        <v>1425</v>
      </c>
    </row>
    <row r="42" spans="1:37" x14ac:dyDescent="0.3">
      <c r="A42" s="29"/>
      <c r="B42" s="580" t="s">
        <v>65</v>
      </c>
      <c r="C42" s="581"/>
      <c r="D42" s="581"/>
      <c r="E42" s="581"/>
      <c r="F42" s="581"/>
      <c r="G42" s="581"/>
      <c r="H42" s="12">
        <f t="shared" si="7"/>
        <v>226.20000000000002</v>
      </c>
      <c r="I42" s="13">
        <f t="shared" si="7"/>
        <v>226.20000000000002</v>
      </c>
      <c r="J42" s="13">
        <f t="shared" si="8"/>
        <v>226.20000000000002</v>
      </c>
      <c r="K42" s="14">
        <f t="shared" si="8"/>
        <v>226.20000000000002</v>
      </c>
      <c r="L42" s="15">
        <f t="shared" si="2"/>
        <v>904.80000000000007</v>
      </c>
      <c r="M42" s="13">
        <f t="shared" si="9"/>
        <v>110.4</v>
      </c>
      <c r="N42" s="13">
        <f t="shared" si="9"/>
        <v>110.4</v>
      </c>
      <c r="O42" s="13">
        <f t="shared" si="9"/>
        <v>110.4</v>
      </c>
      <c r="P42" s="13">
        <f t="shared" si="9"/>
        <v>110.4</v>
      </c>
      <c r="Q42" s="15">
        <f t="shared" si="3"/>
        <v>441.6</v>
      </c>
      <c r="R42" s="13">
        <f t="shared" si="10"/>
        <v>86.399999999999991</v>
      </c>
      <c r="S42" s="13">
        <f t="shared" si="10"/>
        <v>86.399999999999991</v>
      </c>
      <c r="T42" s="13">
        <f t="shared" si="10"/>
        <v>86.399999999999991</v>
      </c>
      <c r="U42" s="13">
        <f t="shared" si="10"/>
        <v>86.399999999999991</v>
      </c>
      <c r="V42" s="15">
        <f t="shared" si="4"/>
        <v>345.59999999999997</v>
      </c>
      <c r="W42" s="13">
        <f t="shared" si="11"/>
        <v>81.600000000000009</v>
      </c>
      <c r="X42" s="13">
        <f t="shared" si="11"/>
        <v>81.600000000000009</v>
      </c>
      <c r="Y42" s="13">
        <f t="shared" si="11"/>
        <v>81.600000000000009</v>
      </c>
      <c r="Z42" s="13">
        <f t="shared" si="11"/>
        <v>81.600000000000009</v>
      </c>
      <c r="AA42" s="15">
        <f t="shared" si="5"/>
        <v>326.40000000000003</v>
      </c>
      <c r="AB42" s="13">
        <f t="shared" si="12"/>
        <v>76.8</v>
      </c>
      <c r="AC42" s="13">
        <f t="shared" si="12"/>
        <v>76.8</v>
      </c>
      <c r="AD42" s="13">
        <f t="shared" si="12"/>
        <v>76.8</v>
      </c>
      <c r="AE42" s="13">
        <f t="shared" si="12"/>
        <v>76.8</v>
      </c>
      <c r="AF42" s="15">
        <f t="shared" si="6"/>
        <v>307.2</v>
      </c>
      <c r="AG42" s="39">
        <f t="shared" si="13"/>
        <v>2325.6000000000004</v>
      </c>
      <c r="AH42" s="11"/>
    </row>
    <row r="43" spans="1:37" x14ac:dyDescent="0.3">
      <c r="A43" s="29"/>
      <c r="B43" s="580" t="s">
        <v>105</v>
      </c>
      <c r="C43" s="581"/>
      <c r="D43" s="581"/>
      <c r="E43" s="581"/>
      <c r="F43" s="581"/>
      <c r="G43" s="581"/>
      <c r="H43" s="12">
        <f t="shared" si="7"/>
        <v>54.6</v>
      </c>
      <c r="I43" s="13">
        <f t="shared" si="7"/>
        <v>54.6</v>
      </c>
      <c r="J43" s="13">
        <f t="shared" si="8"/>
        <v>54.6</v>
      </c>
      <c r="K43" s="14">
        <f t="shared" si="8"/>
        <v>54.6</v>
      </c>
      <c r="L43" s="15">
        <f t="shared" si="2"/>
        <v>218.4</v>
      </c>
      <c r="M43" s="13">
        <f t="shared" si="9"/>
        <v>48.300000000000004</v>
      </c>
      <c r="N43" s="13">
        <f t="shared" si="9"/>
        <v>48.300000000000004</v>
      </c>
      <c r="O43" s="13">
        <f t="shared" si="9"/>
        <v>48.300000000000004</v>
      </c>
      <c r="P43" s="13">
        <f t="shared" si="9"/>
        <v>48.300000000000004</v>
      </c>
      <c r="Q43" s="15">
        <f t="shared" si="3"/>
        <v>193.20000000000002</v>
      </c>
      <c r="R43" s="13">
        <f t="shared" si="10"/>
        <v>37.799999999999997</v>
      </c>
      <c r="S43" s="13">
        <f t="shared" si="10"/>
        <v>37.799999999999997</v>
      </c>
      <c r="T43" s="13">
        <f t="shared" si="10"/>
        <v>37.799999999999997</v>
      </c>
      <c r="U43" s="13">
        <f t="shared" si="10"/>
        <v>37.799999999999997</v>
      </c>
      <c r="V43" s="15">
        <f t="shared" si="4"/>
        <v>151.19999999999999</v>
      </c>
      <c r="W43" s="13">
        <f t="shared" si="11"/>
        <v>35.700000000000003</v>
      </c>
      <c r="X43" s="13">
        <f t="shared" si="11"/>
        <v>35.700000000000003</v>
      </c>
      <c r="Y43" s="13">
        <f t="shared" si="11"/>
        <v>35.700000000000003</v>
      </c>
      <c r="Z43" s="13">
        <f t="shared" si="11"/>
        <v>35.700000000000003</v>
      </c>
      <c r="AA43" s="15">
        <f t="shared" si="5"/>
        <v>142.80000000000001</v>
      </c>
      <c r="AB43" s="13">
        <f t="shared" si="12"/>
        <v>33.6</v>
      </c>
      <c r="AC43" s="13">
        <f t="shared" si="12"/>
        <v>33.6</v>
      </c>
      <c r="AD43" s="13">
        <f t="shared" si="12"/>
        <v>33.6</v>
      </c>
      <c r="AE43" s="13">
        <f t="shared" si="12"/>
        <v>33.6</v>
      </c>
      <c r="AF43" s="15">
        <f t="shared" si="6"/>
        <v>134.4</v>
      </c>
      <c r="AG43" s="39">
        <f t="shared" si="13"/>
        <v>840</v>
      </c>
    </row>
    <row r="44" spans="1:37" x14ac:dyDescent="0.3">
      <c r="A44" s="29"/>
      <c r="B44" s="580" t="s">
        <v>198</v>
      </c>
      <c r="C44" s="581"/>
      <c r="D44" s="581"/>
      <c r="E44" s="581"/>
      <c r="F44" s="581"/>
      <c r="G44" s="581"/>
      <c r="H44" s="12">
        <f t="shared" si="7"/>
        <v>117</v>
      </c>
      <c r="I44" s="13">
        <f t="shared" si="7"/>
        <v>117</v>
      </c>
      <c r="J44" s="13">
        <f t="shared" si="8"/>
        <v>117</v>
      </c>
      <c r="K44" s="14">
        <f t="shared" si="8"/>
        <v>117</v>
      </c>
      <c r="L44" s="15">
        <f t="shared" si="2"/>
        <v>468</v>
      </c>
      <c r="M44" s="13">
        <f t="shared" si="9"/>
        <v>120.75</v>
      </c>
      <c r="N44" s="13">
        <f t="shared" si="9"/>
        <v>120.75</v>
      </c>
      <c r="O44" s="13">
        <f t="shared" si="9"/>
        <v>120.75</v>
      </c>
      <c r="P44" s="13">
        <f t="shared" si="9"/>
        <v>120.75</v>
      </c>
      <c r="Q44" s="15">
        <f t="shared" si="3"/>
        <v>483</v>
      </c>
      <c r="R44" s="13">
        <f t="shared" si="10"/>
        <v>108</v>
      </c>
      <c r="S44" s="13">
        <f t="shared" si="10"/>
        <v>108</v>
      </c>
      <c r="T44" s="13">
        <f t="shared" si="10"/>
        <v>108</v>
      </c>
      <c r="U44" s="13">
        <f t="shared" si="10"/>
        <v>108</v>
      </c>
      <c r="V44" s="15">
        <f t="shared" si="4"/>
        <v>432</v>
      </c>
      <c r="W44" s="13">
        <f t="shared" si="11"/>
        <v>102.00000000000001</v>
      </c>
      <c r="X44" s="13">
        <f t="shared" si="11"/>
        <v>102.00000000000001</v>
      </c>
      <c r="Y44" s="13">
        <f t="shared" si="11"/>
        <v>102.00000000000001</v>
      </c>
      <c r="Z44" s="13">
        <f t="shared" si="11"/>
        <v>102.00000000000001</v>
      </c>
      <c r="AA44" s="15">
        <f t="shared" si="5"/>
        <v>408.00000000000006</v>
      </c>
      <c r="AB44" s="13">
        <f t="shared" si="12"/>
        <v>96</v>
      </c>
      <c r="AC44" s="13">
        <f t="shared" si="12"/>
        <v>96</v>
      </c>
      <c r="AD44" s="13">
        <f t="shared" si="12"/>
        <v>96</v>
      </c>
      <c r="AE44" s="13">
        <f t="shared" si="12"/>
        <v>96</v>
      </c>
      <c r="AF44" s="15">
        <f t="shared" si="6"/>
        <v>384</v>
      </c>
      <c r="AG44" s="39">
        <f t="shared" si="13"/>
        <v>2175</v>
      </c>
      <c r="AI44" s="11"/>
      <c r="AJ44" s="11"/>
    </row>
    <row r="45" spans="1:37" x14ac:dyDescent="0.3">
      <c r="A45" s="29"/>
      <c r="B45" s="582" t="s">
        <v>8</v>
      </c>
      <c r="C45" s="583"/>
      <c r="D45" s="583"/>
      <c r="E45" s="583"/>
      <c r="F45" s="583"/>
      <c r="G45" s="584"/>
      <c r="H45" s="48">
        <f t="shared" si="7"/>
        <v>40.949999999999818</v>
      </c>
      <c r="I45" s="49">
        <f t="shared" si="7"/>
        <v>40.949999999999818</v>
      </c>
      <c r="J45" s="49">
        <f t="shared" si="8"/>
        <v>40.949999999999818</v>
      </c>
      <c r="K45" s="50">
        <f t="shared" si="8"/>
        <v>40.949999999999818</v>
      </c>
      <c r="L45" s="51">
        <f t="shared" si="2"/>
        <v>163.79999999999927</v>
      </c>
      <c r="M45" s="49">
        <f t="shared" si="9"/>
        <v>124.19999999999975</v>
      </c>
      <c r="N45" s="49">
        <f t="shared" si="9"/>
        <v>124.19999999999975</v>
      </c>
      <c r="O45" s="49">
        <f t="shared" si="9"/>
        <v>124.19999999999975</v>
      </c>
      <c r="P45" s="49">
        <f t="shared" si="9"/>
        <v>124.19999999999975</v>
      </c>
      <c r="Q45" s="51">
        <f t="shared" si="3"/>
        <v>496.79999999999899</v>
      </c>
      <c r="R45" s="49">
        <f t="shared" si="10"/>
        <v>93.149999999999778</v>
      </c>
      <c r="S45" s="49">
        <f t="shared" si="10"/>
        <v>93.149999999999778</v>
      </c>
      <c r="T45" s="49">
        <f t="shared" si="10"/>
        <v>93.149999999999778</v>
      </c>
      <c r="U45" s="49">
        <f t="shared" si="10"/>
        <v>93.149999999999778</v>
      </c>
      <c r="V45" s="51">
        <f t="shared" si="4"/>
        <v>372.59999999999911</v>
      </c>
      <c r="W45" s="49">
        <f t="shared" si="11"/>
        <v>73.949999999999932</v>
      </c>
      <c r="X45" s="49">
        <f t="shared" si="11"/>
        <v>73.949999999999932</v>
      </c>
      <c r="Y45" s="49">
        <f t="shared" si="11"/>
        <v>73.949999999999932</v>
      </c>
      <c r="Z45" s="49">
        <f t="shared" si="11"/>
        <v>73.949999999999932</v>
      </c>
      <c r="AA45" s="51">
        <f t="shared" si="5"/>
        <v>295.79999999999973</v>
      </c>
      <c r="AB45" s="49">
        <f t="shared" si="12"/>
        <v>95.999999999999943</v>
      </c>
      <c r="AC45" s="49">
        <f t="shared" si="12"/>
        <v>95.999999999999943</v>
      </c>
      <c r="AD45" s="49">
        <f t="shared" si="12"/>
        <v>95.999999999999943</v>
      </c>
      <c r="AE45" s="49">
        <f t="shared" si="12"/>
        <v>95.999999999999943</v>
      </c>
      <c r="AF45" s="51">
        <f t="shared" si="6"/>
        <v>383.99999999999977</v>
      </c>
      <c r="AG45" s="52">
        <f t="shared" si="13"/>
        <v>1712.999999999997</v>
      </c>
    </row>
    <row r="46" spans="1:37" ht="15" thickBot="1" x14ac:dyDescent="0.35">
      <c r="A46" s="29"/>
      <c r="B46" s="468" t="s">
        <v>74</v>
      </c>
      <c r="C46" s="469"/>
      <c r="D46" s="469"/>
      <c r="E46" s="469"/>
      <c r="F46" s="469"/>
      <c r="G46" s="469"/>
      <c r="H46" s="470">
        <f t="shared" si="7"/>
        <v>1949.9999999999998</v>
      </c>
      <c r="I46" s="471">
        <f t="shared" si="7"/>
        <v>1949.9999999999998</v>
      </c>
      <c r="J46" s="471">
        <f t="shared" si="8"/>
        <v>1949.9999999999998</v>
      </c>
      <c r="K46" s="471">
        <f t="shared" si="8"/>
        <v>1949.9999999999998</v>
      </c>
      <c r="L46" s="470">
        <f t="shared" ref="L46:AG46" si="14">SUM(L36:L45)</f>
        <v>7799.9999999999991</v>
      </c>
      <c r="M46" s="470">
        <f t="shared" si="14"/>
        <v>1724.9999999999998</v>
      </c>
      <c r="N46" s="471">
        <f t="shared" si="14"/>
        <v>1724.9999999999998</v>
      </c>
      <c r="O46" s="471">
        <f t="shared" si="14"/>
        <v>1724.9999999999998</v>
      </c>
      <c r="P46" s="471">
        <f t="shared" si="14"/>
        <v>1724.9999999999998</v>
      </c>
      <c r="Q46" s="470">
        <f t="shared" si="14"/>
        <v>6899.9999999999991</v>
      </c>
      <c r="R46" s="470">
        <f t="shared" si="14"/>
        <v>1350</v>
      </c>
      <c r="S46" s="471">
        <f t="shared" si="14"/>
        <v>1350</v>
      </c>
      <c r="T46" s="471">
        <f t="shared" si="14"/>
        <v>1350</v>
      </c>
      <c r="U46" s="471">
        <f t="shared" si="14"/>
        <v>1350</v>
      </c>
      <c r="V46" s="470">
        <f t="shared" si="14"/>
        <v>5400</v>
      </c>
      <c r="W46" s="472">
        <f t="shared" si="14"/>
        <v>1275</v>
      </c>
      <c r="X46" s="473">
        <f t="shared" si="14"/>
        <v>1275</v>
      </c>
      <c r="Y46" s="473">
        <f t="shared" si="14"/>
        <v>1275</v>
      </c>
      <c r="Z46" s="473">
        <f t="shared" si="14"/>
        <v>1275</v>
      </c>
      <c r="AA46" s="470">
        <f t="shared" si="14"/>
        <v>5100</v>
      </c>
      <c r="AB46" s="470">
        <f t="shared" si="14"/>
        <v>1200</v>
      </c>
      <c r="AC46" s="471">
        <f t="shared" si="14"/>
        <v>1200</v>
      </c>
      <c r="AD46" s="471">
        <f t="shared" si="14"/>
        <v>1200</v>
      </c>
      <c r="AE46" s="471">
        <f t="shared" si="14"/>
        <v>1200</v>
      </c>
      <c r="AF46" s="474">
        <f t="shared" si="14"/>
        <v>4800</v>
      </c>
      <c r="AG46" s="475">
        <f t="shared" si="14"/>
        <v>29999.999999999996</v>
      </c>
    </row>
    <row r="47" spans="1:37" x14ac:dyDescent="0.3">
      <c r="B47" s="11"/>
      <c r="C47" s="11"/>
      <c r="D47" s="11"/>
      <c r="E47" s="11"/>
      <c r="F47" s="11"/>
      <c r="G47" s="11"/>
      <c r="H47" s="16"/>
      <c r="I47" s="16"/>
      <c r="J47" s="16"/>
      <c r="K47" s="16"/>
      <c r="L47" s="453"/>
      <c r="M47" s="453"/>
      <c r="N47" s="453"/>
      <c r="O47" s="453"/>
      <c r="P47" s="453"/>
      <c r="Q47" s="453"/>
      <c r="R47" s="453"/>
      <c r="S47" s="453"/>
      <c r="T47" s="453"/>
      <c r="U47" s="453"/>
      <c r="V47" s="453"/>
      <c r="W47" s="453"/>
      <c r="X47" s="453"/>
      <c r="Y47" s="453"/>
      <c r="Z47" s="453"/>
      <c r="AA47" s="453"/>
      <c r="AB47" s="453"/>
      <c r="AC47" s="453"/>
      <c r="AD47" s="453"/>
      <c r="AE47" s="453"/>
      <c r="AF47" s="453"/>
      <c r="AG47" s="453"/>
      <c r="AK47" s="11"/>
    </row>
    <row r="48" spans="1:37" x14ac:dyDescent="0.3">
      <c r="B48" s="11"/>
      <c r="C48" s="11"/>
      <c r="D48" s="11"/>
      <c r="E48" s="11"/>
      <c r="F48" s="11"/>
      <c r="G48" s="11"/>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row>
    <row r="49" spans="2:36" x14ac:dyDescent="0.3">
      <c r="B49" s="22"/>
      <c r="C49" s="11"/>
      <c r="D49" s="11"/>
      <c r="E49" s="11"/>
      <c r="F49" s="11"/>
      <c r="G49" s="11"/>
      <c r="H49" s="23"/>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row r="50" spans="2:36" x14ac:dyDescent="0.3">
      <c r="B50" s="22"/>
      <c r="C50" s="11"/>
      <c r="D50" s="11"/>
      <c r="E50" s="11"/>
      <c r="F50" s="11"/>
      <c r="G50" s="11"/>
      <c r="H50" s="11"/>
      <c r="AC50" s="11"/>
      <c r="AD50" s="11"/>
      <c r="AE50" s="11"/>
      <c r="AF50" s="11"/>
      <c r="AJ50" s="11"/>
    </row>
  </sheetData>
  <mergeCells count="13">
    <mergeCell ref="H29:L32"/>
    <mergeCell ref="B31:G32"/>
    <mergeCell ref="B36:G36"/>
    <mergeCell ref="B35:G35"/>
    <mergeCell ref="B42:G42"/>
    <mergeCell ref="B43:G43"/>
    <mergeCell ref="B44:G44"/>
    <mergeCell ref="B45:G45"/>
    <mergeCell ref="B37:G37"/>
    <mergeCell ref="B38:G38"/>
    <mergeCell ref="B39:G39"/>
    <mergeCell ref="B40:G40"/>
    <mergeCell ref="B41:G41"/>
  </mergeCells>
  <conditionalFormatting sqref="C8">
    <cfRule type="cellIs" dxfId="54" priority="55" operator="lessThan">
      <formula>0</formula>
    </cfRule>
  </conditionalFormatting>
  <conditionalFormatting sqref="C9:C12">
    <cfRule type="cellIs" dxfId="53" priority="54" operator="lessThan">
      <formula>0</formula>
    </cfRule>
  </conditionalFormatting>
  <conditionalFormatting sqref="C16">
    <cfRule type="cellIs" dxfId="52" priority="52" operator="lessThan">
      <formula>0</formula>
    </cfRule>
  </conditionalFormatting>
  <conditionalFormatting sqref="C17:C20">
    <cfRule type="cellIs" dxfId="51" priority="51" operator="lessThan">
      <formula>0</formula>
    </cfRule>
  </conditionalFormatting>
  <conditionalFormatting sqref="D16">
    <cfRule type="cellIs" dxfId="50" priority="50" operator="lessThan">
      <formula>0</formula>
    </cfRule>
  </conditionalFormatting>
  <conditionalFormatting sqref="D17:D20">
    <cfRule type="cellIs" dxfId="49" priority="49" operator="lessThan">
      <formula>0</formula>
    </cfRule>
  </conditionalFormatting>
  <conditionalFormatting sqref="C22:C23">
    <cfRule type="cellIs" dxfId="48" priority="48" operator="lessThan">
      <formula>0</formula>
    </cfRule>
  </conditionalFormatting>
  <conditionalFormatting sqref="C21">
    <cfRule type="cellIs" dxfId="47" priority="47" operator="lessThan">
      <formula>0</formula>
    </cfRule>
  </conditionalFormatting>
  <conditionalFormatting sqref="C24:C25 D25:G25">
    <cfRule type="cellIs" dxfId="46" priority="46" operator="lessThan">
      <formula>0</formula>
    </cfRule>
  </conditionalFormatting>
  <conditionalFormatting sqref="D21:D23">
    <cfRule type="cellIs" dxfId="45" priority="45" operator="lessThan">
      <formula>0</formula>
    </cfRule>
  </conditionalFormatting>
  <conditionalFormatting sqref="D24">
    <cfRule type="cellIs" dxfId="44" priority="44" operator="lessThan">
      <formula>0</formula>
    </cfRule>
  </conditionalFormatting>
  <conditionalFormatting sqref="E16">
    <cfRule type="cellIs" dxfId="43" priority="43" operator="lessThan">
      <formula>0</formula>
    </cfRule>
  </conditionalFormatting>
  <conditionalFormatting sqref="E17 E19:E20">
    <cfRule type="cellIs" dxfId="42" priority="42" operator="lessThan">
      <formula>0</formula>
    </cfRule>
  </conditionalFormatting>
  <conditionalFormatting sqref="F16">
    <cfRule type="cellIs" dxfId="41" priority="41" operator="lessThan">
      <formula>0</formula>
    </cfRule>
  </conditionalFormatting>
  <conditionalFormatting sqref="F17 F19:F20">
    <cfRule type="cellIs" dxfId="40" priority="40" operator="lessThan">
      <formula>0</formula>
    </cfRule>
  </conditionalFormatting>
  <conditionalFormatting sqref="E22:E23">
    <cfRule type="cellIs" dxfId="39" priority="39" operator="lessThan">
      <formula>0</formula>
    </cfRule>
  </conditionalFormatting>
  <conditionalFormatting sqref="E21">
    <cfRule type="cellIs" dxfId="38" priority="38" operator="lessThan">
      <formula>0</formula>
    </cfRule>
  </conditionalFormatting>
  <conditionalFormatting sqref="E24">
    <cfRule type="cellIs" dxfId="37" priority="37" operator="lessThan">
      <formula>0</formula>
    </cfRule>
  </conditionalFormatting>
  <conditionalFormatting sqref="F21:F23">
    <cfRule type="cellIs" dxfId="36" priority="36" operator="lessThan">
      <formula>0</formula>
    </cfRule>
  </conditionalFormatting>
  <conditionalFormatting sqref="F24">
    <cfRule type="cellIs" dxfId="35" priority="35" operator="lessThan">
      <formula>0</formula>
    </cfRule>
  </conditionalFormatting>
  <conditionalFormatting sqref="G16">
    <cfRule type="cellIs" dxfId="34" priority="34" operator="lessThan">
      <formula>0</formula>
    </cfRule>
  </conditionalFormatting>
  <conditionalFormatting sqref="G17 G19:G20">
    <cfRule type="cellIs" dxfId="33" priority="33" operator="lessThan">
      <formula>0</formula>
    </cfRule>
  </conditionalFormatting>
  <conditionalFormatting sqref="G21:G23">
    <cfRule type="cellIs" dxfId="32" priority="32" operator="lessThan">
      <formula>0</formula>
    </cfRule>
  </conditionalFormatting>
  <conditionalFormatting sqref="G24">
    <cfRule type="cellIs" dxfId="31" priority="31" operator="lessThan">
      <formula>0</formula>
    </cfRule>
  </conditionalFormatting>
  <conditionalFormatting sqref="E18">
    <cfRule type="cellIs" dxfId="30" priority="27" operator="lessThan">
      <formula>0</formula>
    </cfRule>
  </conditionalFormatting>
  <conditionalFormatting sqref="F18">
    <cfRule type="cellIs" dxfId="29" priority="26" operator="lessThan">
      <formula>0</formula>
    </cfRule>
  </conditionalFormatting>
  <conditionalFormatting sqref="G18">
    <cfRule type="cellIs" dxfId="28" priority="25" operator="lessThan">
      <formula>0</formula>
    </cfRule>
  </conditionalFormatting>
  <conditionalFormatting sqref="C29:G29">
    <cfRule type="cellIs" dxfId="27" priority="14" operator="lessThan">
      <formula>0</formula>
    </cfRule>
  </conditionalFormatting>
  <conditionalFormatting sqref="C30:G30">
    <cfRule type="cellIs" dxfId="26" priority="2" operator="lessThan">
      <formula>0</formula>
    </cfRule>
  </conditionalFormatting>
  <pageMargins left="0.7" right="0.7" top="0.78740157499999996" bottom="0.78740157499999996" header="0.3" footer="0.3"/>
  <ignoredErrors>
    <ignoredError sqref="C25:G25" formulaRange="1"/>
  </ignoredError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682A3-CDA1-41DD-AC54-54E062B79EB7}">
  <sheetPr codeName="Worksheet____3">
    <tabColor theme="1"/>
  </sheetPr>
  <dimension ref="A1:AR60"/>
  <sheetViews>
    <sheetView tabSelected="1" zoomScale="70" zoomScaleNormal="70" workbookViewId="0">
      <selection activeCell="D32" sqref="D32"/>
    </sheetView>
  </sheetViews>
  <sheetFormatPr baseColWidth="10" defaultColWidth="11.5546875" defaultRowHeight="12" x14ac:dyDescent="0.25"/>
  <cols>
    <col min="1" max="1" width="63.5546875" style="489" customWidth="1"/>
    <col min="2" max="2" width="35" style="489" customWidth="1"/>
    <col min="3" max="3" width="35.109375" style="489" customWidth="1"/>
    <col min="4" max="4" width="29.109375" style="489" customWidth="1"/>
    <col min="5" max="5" width="30.33203125" style="489" customWidth="1"/>
    <col min="6" max="6" width="27.5546875" style="489" customWidth="1"/>
    <col min="7" max="11" width="8.44140625" style="489" customWidth="1"/>
    <col min="12" max="16384" width="11.5546875" style="489"/>
  </cols>
  <sheetData>
    <row r="1" spans="1:44" s="482" customFormat="1" x14ac:dyDescent="0.25">
      <c r="B1" s="592" t="s">
        <v>240</v>
      </c>
      <c r="C1" s="592"/>
      <c r="D1" s="592"/>
      <c r="E1" s="592"/>
      <c r="F1" s="592"/>
      <c r="G1" s="560"/>
      <c r="H1" s="560"/>
    </row>
    <row r="2" spans="1:44" s="482" customFormat="1" ht="13.8" x14ac:dyDescent="0.3">
      <c r="A2" s="578"/>
      <c r="B2" s="592"/>
      <c r="C2" s="592"/>
      <c r="D2" s="592"/>
      <c r="E2" s="592"/>
      <c r="F2" s="592"/>
      <c r="G2" s="560"/>
      <c r="H2" s="560"/>
    </row>
    <row r="3" spans="1:44" s="482" customFormat="1" ht="27" customHeight="1" x14ac:dyDescent="0.3">
      <c r="A3" s="578" t="s">
        <v>239</v>
      </c>
      <c r="B3" s="593"/>
      <c r="C3" s="593"/>
      <c r="D3" s="593"/>
      <c r="E3" s="593"/>
      <c r="F3" s="593"/>
      <c r="G3" s="560"/>
      <c r="H3" s="560"/>
    </row>
    <row r="4" spans="1:44" s="482" customFormat="1" x14ac:dyDescent="0.25">
      <c r="B4" s="559"/>
      <c r="C4" s="559"/>
      <c r="D4" s="559"/>
      <c r="E4" s="559"/>
      <c r="F4" s="559"/>
    </row>
    <row r="5" spans="1:44" ht="18" customHeight="1" x14ac:dyDescent="0.4">
      <c r="A5" s="483"/>
      <c r="B5" s="484">
        <v>2018</v>
      </c>
      <c r="C5" s="484">
        <v>2019</v>
      </c>
      <c r="D5" s="484">
        <v>2020</v>
      </c>
      <c r="E5" s="484">
        <v>2021</v>
      </c>
      <c r="F5" s="484">
        <v>2022</v>
      </c>
      <c r="G5" s="485"/>
      <c r="H5" s="486"/>
      <c r="I5" s="486"/>
      <c r="J5" s="486"/>
      <c r="K5" s="487"/>
      <c r="L5" s="488"/>
      <c r="M5" s="482"/>
      <c r="N5" s="482"/>
      <c r="O5" s="482"/>
      <c r="P5" s="482"/>
      <c r="Q5" s="482"/>
      <c r="R5" s="482"/>
      <c r="S5" s="482"/>
      <c r="T5" s="482"/>
      <c r="U5" s="482"/>
      <c r="V5" s="482"/>
      <c r="W5" s="482"/>
      <c r="X5" s="482"/>
      <c r="Y5" s="482"/>
      <c r="Z5" s="482"/>
      <c r="AA5" s="482"/>
      <c r="AB5" s="482"/>
      <c r="AC5" s="482"/>
      <c r="AD5" s="482"/>
      <c r="AE5" s="482"/>
      <c r="AF5" s="482"/>
      <c r="AG5" s="482"/>
      <c r="AH5" s="482"/>
      <c r="AI5" s="482"/>
      <c r="AJ5" s="482"/>
      <c r="AK5" s="482"/>
      <c r="AL5" s="482"/>
      <c r="AM5" s="482"/>
      <c r="AN5" s="482"/>
      <c r="AO5" s="482"/>
      <c r="AP5" s="482"/>
      <c r="AQ5" s="482"/>
      <c r="AR5" s="482"/>
    </row>
    <row r="6" spans="1:44" ht="15" customHeight="1" x14ac:dyDescent="0.3">
      <c r="A6" s="577" t="s">
        <v>236</v>
      </c>
      <c r="B6" s="490">
        <f>'User Data Switex'!BT11</f>
        <v>22418.004164586673</v>
      </c>
      <c r="C6" s="490">
        <f>'User Data Switex'!BY11</f>
        <v>96432.008877534739</v>
      </c>
      <c r="D6" s="490">
        <f>'User Data Switex'!CD11</f>
        <v>142588.33333333334</v>
      </c>
      <c r="E6" s="490">
        <f>'User Data Switex'!CI11</f>
        <v>209127.08333333334</v>
      </c>
      <c r="F6" s="490">
        <f>'User Data Switex'!CN11</f>
        <v>823523.13741303608</v>
      </c>
      <c r="G6" s="486"/>
      <c r="H6" s="486"/>
      <c r="I6" s="486"/>
      <c r="J6" s="486"/>
      <c r="K6" s="487"/>
      <c r="L6" s="488"/>
      <c r="M6" s="482"/>
      <c r="N6" s="482"/>
      <c r="O6" s="482"/>
      <c r="P6" s="482"/>
      <c r="Q6" s="482"/>
      <c r="R6" s="482"/>
      <c r="S6" s="482"/>
      <c r="T6" s="482"/>
      <c r="U6" s="482"/>
      <c r="V6" s="482"/>
      <c r="W6" s="482"/>
      <c r="X6" s="482"/>
      <c r="Y6" s="482"/>
      <c r="Z6" s="482"/>
      <c r="AA6" s="482"/>
      <c r="AB6" s="482"/>
      <c r="AC6" s="482"/>
      <c r="AD6" s="482"/>
      <c r="AE6" s="482"/>
      <c r="AF6" s="482"/>
      <c r="AG6" s="482"/>
      <c r="AH6" s="482"/>
      <c r="AI6" s="482"/>
      <c r="AJ6" s="482"/>
      <c r="AK6" s="482"/>
      <c r="AL6" s="482"/>
      <c r="AM6" s="482"/>
      <c r="AN6" s="482"/>
      <c r="AO6" s="482"/>
      <c r="AP6" s="482"/>
      <c r="AQ6" s="482"/>
      <c r="AR6" s="482"/>
    </row>
    <row r="7" spans="1:44" ht="15" customHeight="1" x14ac:dyDescent="0.3">
      <c r="A7" s="577" t="s">
        <v>237</v>
      </c>
      <c r="B7" s="490">
        <f>AVERAGE('User Data SwipeStox'!Z23:AC23)</f>
        <v>4458.4331367188206</v>
      </c>
      <c r="C7" s="490">
        <f>AVERAGE('User Data SwipeStox'!AD23:AG23)</f>
        <v>5633.7146346973013</v>
      </c>
      <c r="D7" s="490">
        <f>AVERAGE('User Data SwipeStox'!AH23:AK23)</f>
        <v>6317.7873253648258</v>
      </c>
      <c r="E7" s="490">
        <f>AVERAGE('User Data SwipeStox'!AL23:AO23)</f>
        <v>7574.4902593496627</v>
      </c>
      <c r="F7" s="490">
        <f>AVERAGE('User Data SwipeStox'!AP23:AS23)</f>
        <v>9873.3382284761083</v>
      </c>
      <c r="G7" s="486"/>
      <c r="H7" s="486"/>
      <c r="I7" s="486"/>
      <c r="J7" s="486"/>
      <c r="K7" s="487"/>
      <c r="L7" s="488"/>
      <c r="M7" s="482"/>
      <c r="N7" s="482"/>
      <c r="O7" s="482"/>
      <c r="P7" s="482"/>
      <c r="Q7" s="482"/>
      <c r="R7" s="482"/>
      <c r="S7" s="482"/>
      <c r="T7" s="482"/>
      <c r="U7" s="482"/>
      <c r="V7" s="482"/>
      <c r="W7" s="482"/>
      <c r="X7" s="482"/>
      <c r="Y7" s="482"/>
      <c r="Z7" s="482"/>
      <c r="AA7" s="482"/>
      <c r="AB7" s="482"/>
      <c r="AC7" s="482"/>
      <c r="AD7" s="482"/>
      <c r="AE7" s="482"/>
      <c r="AF7" s="482"/>
      <c r="AG7" s="482"/>
      <c r="AH7" s="482"/>
      <c r="AI7" s="482"/>
      <c r="AJ7" s="482"/>
      <c r="AK7" s="482"/>
      <c r="AL7" s="482"/>
      <c r="AM7" s="482"/>
      <c r="AN7" s="482"/>
      <c r="AO7" s="482"/>
      <c r="AP7" s="482"/>
      <c r="AQ7" s="482"/>
      <c r="AR7" s="482"/>
    </row>
    <row r="8" spans="1:44" ht="14.4" x14ac:dyDescent="0.3">
      <c r="A8" s="491" t="s">
        <v>106</v>
      </c>
      <c r="B8" s="492">
        <f>'ICO Model'!M26</f>
        <v>2.1143556182732444</v>
      </c>
      <c r="C8" s="492">
        <f>'ICO Model'!R26</f>
        <v>2.9021438247182529</v>
      </c>
      <c r="D8" s="492">
        <f>'ICO Model'!W26</f>
        <v>3.4898093514101931</v>
      </c>
      <c r="E8" s="492">
        <f>'ICO Model'!AB26</f>
        <v>4.5490289686684875</v>
      </c>
      <c r="F8" s="492">
        <f>'ICO Model'!AG26</f>
        <v>6.88183088050409</v>
      </c>
      <c r="G8" s="486"/>
      <c r="H8" s="486"/>
      <c r="I8" s="486"/>
      <c r="J8" s="486"/>
      <c r="K8" s="487"/>
      <c r="L8" s="488"/>
      <c r="M8" s="482"/>
      <c r="N8" s="482"/>
      <c r="O8" s="482"/>
      <c r="P8" s="482"/>
      <c r="Q8" s="482"/>
      <c r="R8" s="482"/>
      <c r="S8" s="482"/>
      <c r="T8" s="482"/>
      <c r="U8" s="482"/>
      <c r="V8" s="482"/>
      <c r="W8" s="482"/>
      <c r="X8" s="482"/>
      <c r="Y8" s="482"/>
      <c r="Z8" s="482"/>
      <c r="AA8" s="482"/>
      <c r="AB8" s="482"/>
      <c r="AC8" s="482"/>
      <c r="AD8" s="482"/>
      <c r="AE8" s="482"/>
      <c r="AF8" s="482"/>
      <c r="AG8" s="482"/>
      <c r="AH8" s="482"/>
      <c r="AI8" s="482"/>
      <c r="AJ8" s="482"/>
      <c r="AK8" s="482"/>
      <c r="AL8" s="482"/>
      <c r="AM8" s="482"/>
      <c r="AN8" s="482"/>
      <c r="AO8" s="482"/>
      <c r="AP8" s="482"/>
      <c r="AQ8" s="482"/>
      <c r="AR8" s="482"/>
    </row>
    <row r="9" spans="1:44" ht="14.4" x14ac:dyDescent="0.3">
      <c r="A9" s="491" t="s">
        <v>192</v>
      </c>
      <c r="B9" s="492">
        <f>'ICO Model'!M21</f>
        <v>1.7921704954582604E-2</v>
      </c>
      <c r="C9" s="492">
        <f>'ICO Model'!R21</f>
        <v>2.508590801350661E-2</v>
      </c>
      <c r="D9" s="492">
        <f>'ICO Model'!W21</f>
        <v>2.8379098747538047E-2</v>
      </c>
      <c r="E9" s="492">
        <f>'ICO Model'!AB21</f>
        <v>4.2905100395120938E-2</v>
      </c>
      <c r="F9" s="492">
        <f>'ICO Model'!AG21</f>
        <v>0.10937421364294861</v>
      </c>
      <c r="G9" s="486"/>
      <c r="H9" s="486"/>
      <c r="I9" s="486"/>
      <c r="J9" s="486"/>
      <c r="K9" s="487"/>
      <c r="L9" s="487"/>
      <c r="M9" s="482"/>
      <c r="N9" s="482"/>
      <c r="O9" s="482"/>
      <c r="P9" s="482"/>
      <c r="Q9" s="482"/>
      <c r="R9" s="482"/>
      <c r="S9" s="482"/>
      <c r="T9" s="482"/>
      <c r="U9" s="482"/>
      <c r="V9" s="482"/>
      <c r="W9" s="482"/>
      <c r="X9" s="482"/>
      <c r="Y9" s="482"/>
      <c r="Z9" s="482"/>
      <c r="AA9" s="482"/>
      <c r="AB9" s="482"/>
      <c r="AC9" s="482"/>
      <c r="AD9" s="482"/>
      <c r="AE9" s="482"/>
      <c r="AF9" s="482"/>
      <c r="AG9" s="482"/>
      <c r="AH9" s="482"/>
      <c r="AI9" s="482"/>
      <c r="AJ9" s="482"/>
      <c r="AK9" s="482"/>
      <c r="AL9" s="482"/>
      <c r="AM9" s="482"/>
      <c r="AN9" s="482"/>
      <c r="AO9" s="482"/>
      <c r="AP9" s="482"/>
      <c r="AQ9" s="482"/>
      <c r="AR9" s="482"/>
    </row>
    <row r="10" spans="1:44" ht="14.4" x14ac:dyDescent="0.3">
      <c r="A10" s="491" t="s">
        <v>202</v>
      </c>
      <c r="B10" s="493">
        <f>'ICO Model'!M27</f>
        <v>117.9773701013084</v>
      </c>
      <c r="C10" s="493">
        <f>'ICO Model'!R27</f>
        <v>115.68821121227494</v>
      </c>
      <c r="D10" s="493">
        <f>'ICO Model'!W27</f>
        <v>122.97111273531695</v>
      </c>
      <c r="E10" s="493">
        <f>'ICO Model'!AB27</f>
        <v>106.02536590698182</v>
      </c>
      <c r="F10" s="493">
        <f>'ICO Model'!AG27</f>
        <v>62.920048988601472</v>
      </c>
      <c r="G10" s="486"/>
      <c r="H10" s="486"/>
      <c r="I10" s="486"/>
      <c r="J10" s="486"/>
      <c r="K10" s="487"/>
      <c r="L10" s="487"/>
      <c r="M10" s="482"/>
      <c r="N10" s="482"/>
      <c r="O10" s="482"/>
      <c r="P10" s="482"/>
      <c r="Q10" s="482"/>
      <c r="R10" s="482"/>
      <c r="S10" s="482"/>
      <c r="T10" s="482"/>
      <c r="U10" s="482"/>
      <c r="V10" s="482"/>
      <c r="W10" s="482"/>
      <c r="X10" s="482"/>
      <c r="Y10" s="482"/>
      <c r="Z10" s="482"/>
      <c r="AA10" s="482"/>
      <c r="AB10" s="482"/>
      <c r="AC10" s="482"/>
      <c r="AD10" s="482"/>
      <c r="AE10" s="482"/>
      <c r="AF10" s="482"/>
      <c r="AG10" s="482"/>
      <c r="AH10" s="482"/>
      <c r="AI10" s="482"/>
      <c r="AJ10" s="482"/>
      <c r="AK10" s="482"/>
      <c r="AL10" s="482"/>
      <c r="AM10" s="482"/>
      <c r="AN10" s="482"/>
      <c r="AO10" s="482"/>
      <c r="AP10" s="482"/>
      <c r="AQ10" s="482"/>
      <c r="AR10" s="482"/>
    </row>
    <row r="11" spans="1:44" ht="14.4" x14ac:dyDescent="0.3">
      <c r="A11" s="491" t="s">
        <v>193</v>
      </c>
      <c r="B11" s="490">
        <f>'ICO Model'!M24</f>
        <v>31715334.274098668</v>
      </c>
      <c r="C11" s="490">
        <f>'ICO Model'!R24</f>
        <v>43532157.370773792</v>
      </c>
      <c r="D11" s="490">
        <f>'ICO Model'!W24</f>
        <v>52347140.271152899</v>
      </c>
      <c r="E11" s="490">
        <f>'ICO Model'!AB24</f>
        <v>68235434.530027315</v>
      </c>
      <c r="F11" s="490">
        <f>'ICO Model'!AG24</f>
        <v>103227463.20756134</v>
      </c>
      <c r="G11" s="486"/>
      <c r="H11" s="486"/>
      <c r="I11" s="486"/>
      <c r="J11" s="486"/>
      <c r="K11" s="487"/>
      <c r="L11" s="487"/>
      <c r="M11" s="482"/>
      <c r="N11" s="482"/>
      <c r="O11" s="482"/>
      <c r="P11" s="482"/>
      <c r="Q11" s="482"/>
      <c r="R11" s="482"/>
      <c r="S11" s="482"/>
      <c r="T11" s="482"/>
      <c r="U11" s="482"/>
      <c r="V11" s="482"/>
      <c r="W11" s="482"/>
      <c r="X11" s="482"/>
      <c r="Y11" s="482"/>
      <c r="Z11" s="482"/>
      <c r="AA11" s="482"/>
      <c r="AB11" s="482"/>
      <c r="AC11" s="482"/>
      <c r="AD11" s="482"/>
      <c r="AE11" s="482"/>
      <c r="AF11" s="482"/>
      <c r="AG11" s="482"/>
      <c r="AH11" s="482"/>
      <c r="AI11" s="482"/>
      <c r="AJ11" s="482"/>
      <c r="AK11" s="482"/>
      <c r="AL11" s="482"/>
      <c r="AM11" s="482"/>
      <c r="AN11" s="482"/>
      <c r="AO11" s="482"/>
      <c r="AP11" s="482"/>
      <c r="AQ11" s="482"/>
      <c r="AR11" s="482"/>
    </row>
    <row r="12" spans="1:44" ht="14.4" x14ac:dyDescent="0.3">
      <c r="A12" s="491" t="s">
        <v>194</v>
      </c>
      <c r="B12" s="490">
        <f>'ICO Model'!M23</f>
        <v>15000000</v>
      </c>
      <c r="C12" s="490">
        <f>'ICO Model'!R23</f>
        <v>15000000</v>
      </c>
      <c r="D12" s="490">
        <f>'ICO Model'!W23</f>
        <v>15000000</v>
      </c>
      <c r="E12" s="490">
        <f>'ICO Model'!AB23</f>
        <v>15000000</v>
      </c>
      <c r="F12" s="490">
        <f>'ICO Model'!AG23</f>
        <v>15000000</v>
      </c>
      <c r="G12" s="486"/>
      <c r="H12" s="486"/>
      <c r="I12" s="486"/>
      <c r="J12" s="486"/>
      <c r="K12" s="487"/>
      <c r="L12" s="487"/>
      <c r="M12" s="482"/>
      <c r="N12" s="482"/>
      <c r="O12" s="482"/>
      <c r="P12" s="482"/>
      <c r="Q12" s="482"/>
      <c r="R12" s="482"/>
      <c r="S12" s="482"/>
      <c r="T12" s="482"/>
      <c r="U12" s="482"/>
      <c r="V12" s="482"/>
      <c r="W12" s="482"/>
      <c r="X12" s="482"/>
      <c r="Y12" s="482"/>
      <c r="Z12" s="482"/>
      <c r="AA12" s="482"/>
      <c r="AB12" s="482"/>
      <c r="AC12" s="482"/>
      <c r="AD12" s="482"/>
      <c r="AE12" s="482"/>
      <c r="AF12" s="482"/>
      <c r="AG12" s="482"/>
      <c r="AH12" s="482"/>
      <c r="AI12" s="482"/>
      <c r="AJ12" s="482"/>
      <c r="AK12" s="482"/>
      <c r="AL12" s="482"/>
      <c r="AM12" s="482"/>
      <c r="AN12" s="482"/>
      <c r="AO12" s="482"/>
      <c r="AP12" s="482"/>
      <c r="AQ12" s="482"/>
      <c r="AR12" s="482"/>
    </row>
    <row r="13" spans="1:44" ht="14.4" x14ac:dyDescent="0.3">
      <c r="A13" s="494"/>
      <c r="B13" s="495"/>
      <c r="C13" s="495"/>
      <c r="D13" s="495"/>
      <c r="E13" s="496"/>
      <c r="F13" s="486"/>
      <c r="G13" s="486"/>
      <c r="H13" s="486"/>
      <c r="I13" s="486"/>
      <c r="J13" s="486"/>
      <c r="K13" s="487"/>
      <c r="L13" s="487"/>
      <c r="M13" s="482"/>
      <c r="N13" s="482"/>
      <c r="O13" s="482"/>
      <c r="P13" s="482"/>
      <c r="Q13" s="482"/>
      <c r="R13" s="482"/>
      <c r="S13" s="482"/>
      <c r="T13" s="482"/>
      <c r="U13" s="482"/>
      <c r="V13" s="482"/>
      <c r="W13" s="482"/>
      <c r="X13" s="482"/>
      <c r="Y13" s="482"/>
      <c r="Z13" s="482"/>
      <c r="AA13" s="482"/>
      <c r="AB13" s="482"/>
      <c r="AC13" s="482"/>
      <c r="AD13" s="482"/>
      <c r="AE13" s="482"/>
      <c r="AF13" s="482"/>
      <c r="AG13" s="482"/>
      <c r="AH13" s="482"/>
      <c r="AI13" s="482"/>
      <c r="AJ13" s="482"/>
      <c r="AK13" s="482"/>
      <c r="AL13" s="482"/>
      <c r="AM13" s="482"/>
      <c r="AN13" s="482"/>
      <c r="AO13" s="482"/>
      <c r="AP13" s="482"/>
      <c r="AQ13" s="482"/>
      <c r="AR13" s="482"/>
    </row>
    <row r="14" spans="1:44" x14ac:dyDescent="0.25">
      <c r="E14" s="497"/>
      <c r="F14" s="497"/>
      <c r="G14" s="497"/>
      <c r="H14" s="497"/>
      <c r="I14" s="497"/>
      <c r="J14" s="497"/>
      <c r="K14" s="497"/>
      <c r="L14" s="497"/>
    </row>
    <row r="15" spans="1:44" ht="15.6" x14ac:dyDescent="0.3">
      <c r="A15" s="498" t="s">
        <v>184</v>
      </c>
      <c r="B15" s="499"/>
      <c r="E15" s="497"/>
      <c r="F15" s="497"/>
      <c r="G15" s="497"/>
      <c r="H15" s="497"/>
      <c r="I15" s="497"/>
      <c r="J15" s="497"/>
      <c r="K15" s="497"/>
      <c r="L15" s="497"/>
    </row>
    <row r="16" spans="1:44" ht="15.6" x14ac:dyDescent="0.3">
      <c r="A16" s="558" t="s">
        <v>230</v>
      </c>
      <c r="B16" s="501">
        <f>B17/55*100</f>
        <v>54.54545454545454</v>
      </c>
      <c r="C16" s="502"/>
      <c r="E16" s="503"/>
      <c r="F16" s="504"/>
      <c r="G16" s="504"/>
      <c r="H16" s="504"/>
      <c r="I16" s="504"/>
      <c r="J16" s="504"/>
      <c r="K16" s="497"/>
      <c r="L16" s="497"/>
    </row>
    <row r="17" spans="1:14" ht="15.6" x14ac:dyDescent="0.3">
      <c r="A17" s="505" t="s">
        <v>199</v>
      </c>
      <c r="B17" s="506">
        <v>30</v>
      </c>
      <c r="C17" s="507"/>
      <c r="E17" s="504"/>
      <c r="F17" s="504"/>
      <c r="G17" s="504"/>
      <c r="H17" s="504"/>
      <c r="I17" s="504"/>
      <c r="J17" s="504"/>
      <c r="K17" s="508"/>
      <c r="L17" s="508"/>
      <c r="M17" s="509"/>
    </row>
    <row r="18" spans="1:14" ht="15.6" x14ac:dyDescent="0.3">
      <c r="A18" s="500" t="s">
        <v>47</v>
      </c>
      <c r="B18" s="510">
        <v>1</v>
      </c>
      <c r="C18" s="511"/>
      <c r="E18" s="504"/>
      <c r="F18" s="512"/>
      <c r="G18" s="512"/>
      <c r="H18" s="512"/>
      <c r="I18" s="512"/>
      <c r="J18" s="512"/>
      <c r="K18" s="508"/>
      <c r="L18" s="508"/>
      <c r="M18" s="509"/>
    </row>
    <row r="19" spans="1:14" ht="15.6" x14ac:dyDescent="0.3">
      <c r="A19" s="513" t="s">
        <v>189</v>
      </c>
      <c r="B19" s="514">
        <f>C19/100</f>
        <v>0.15</v>
      </c>
      <c r="C19" s="530">
        <v>15</v>
      </c>
      <c r="E19" s="516"/>
      <c r="F19" s="517"/>
      <c r="G19" s="517"/>
      <c r="H19" s="517"/>
      <c r="I19" s="517"/>
      <c r="J19" s="517"/>
      <c r="K19" s="497"/>
      <c r="L19" s="497"/>
    </row>
    <row r="20" spans="1:14" ht="15.6" x14ac:dyDescent="0.3">
      <c r="A20" s="513" t="s">
        <v>190</v>
      </c>
      <c r="B20" s="514">
        <f>C20/100</f>
        <v>0.05</v>
      </c>
      <c r="C20" s="530">
        <v>5</v>
      </c>
      <c r="E20" s="516"/>
      <c r="F20" s="517"/>
      <c r="G20" s="517"/>
      <c r="H20" s="517"/>
      <c r="I20" s="517"/>
      <c r="J20" s="517"/>
      <c r="K20" s="497"/>
      <c r="L20" s="497"/>
    </row>
    <row r="21" spans="1:14" ht="15.6" x14ac:dyDescent="0.3">
      <c r="A21" s="513" t="s">
        <v>191</v>
      </c>
      <c r="B21" s="514">
        <f>C21/100</f>
        <v>0.45</v>
      </c>
      <c r="C21" s="530">
        <v>45</v>
      </c>
      <c r="D21" s="497"/>
      <c r="E21" s="516"/>
      <c r="F21" s="517"/>
      <c r="G21" s="517"/>
      <c r="H21" s="517"/>
      <c r="I21" s="517"/>
      <c r="J21" s="517"/>
      <c r="K21" s="497"/>
      <c r="L21" s="497"/>
    </row>
    <row r="22" spans="1:14" ht="15.6" x14ac:dyDescent="0.3">
      <c r="A22" s="518"/>
      <c r="B22" s="519"/>
      <c r="C22" s="515"/>
      <c r="D22" s="497"/>
      <c r="E22" s="516"/>
      <c r="F22" s="517"/>
      <c r="G22" s="517"/>
      <c r="H22" s="517"/>
      <c r="I22" s="517"/>
      <c r="J22" s="517"/>
      <c r="K22" s="497"/>
      <c r="L22" s="497"/>
    </row>
    <row r="23" spans="1:14" ht="15.6" x14ac:dyDescent="0.3">
      <c r="A23" s="498" t="s">
        <v>220</v>
      </c>
      <c r="B23" s="519"/>
      <c r="C23" s="515"/>
      <c r="D23" s="497"/>
      <c r="E23" s="516"/>
      <c r="F23" s="517"/>
      <c r="G23" s="517"/>
      <c r="H23" s="517"/>
      <c r="I23" s="517"/>
      <c r="J23" s="517"/>
      <c r="K23" s="497"/>
      <c r="L23" s="497"/>
    </row>
    <row r="24" spans="1:14" ht="15.6" x14ac:dyDescent="0.3">
      <c r="A24" s="513" t="s">
        <v>185</v>
      </c>
      <c r="B24" s="520">
        <v>180</v>
      </c>
      <c r="C24" s="515"/>
      <c r="D24" s="497"/>
      <c r="E24" s="516"/>
      <c r="F24" s="517"/>
      <c r="G24" s="517"/>
      <c r="H24" s="517"/>
      <c r="I24" s="517"/>
      <c r="J24" s="517"/>
      <c r="K24" s="497"/>
      <c r="L24" s="497"/>
    </row>
    <row r="25" spans="1:14" ht="15.6" x14ac:dyDescent="0.3">
      <c r="A25" s="513" t="s">
        <v>219</v>
      </c>
      <c r="B25" s="521">
        <v>1300</v>
      </c>
      <c r="C25" s="515"/>
      <c r="D25" s="497"/>
      <c r="E25" s="516"/>
      <c r="F25" s="517"/>
      <c r="G25" s="517"/>
      <c r="H25" s="517"/>
      <c r="I25" s="517"/>
      <c r="J25" s="517"/>
      <c r="K25" s="497"/>
      <c r="L25" s="497"/>
    </row>
    <row r="26" spans="1:14" ht="15.6" x14ac:dyDescent="0.3">
      <c r="A26" s="513" t="s">
        <v>167</v>
      </c>
      <c r="B26" s="522">
        <f>C26/100</f>
        <v>0.3</v>
      </c>
      <c r="C26" s="573">
        <v>30</v>
      </c>
      <c r="D26" s="574"/>
      <c r="E26" s="516"/>
      <c r="F26" s="517"/>
      <c r="G26" s="517"/>
      <c r="H26" s="517"/>
      <c r="I26" s="517"/>
      <c r="J26" s="517"/>
      <c r="K26" s="497"/>
      <c r="L26" s="497"/>
    </row>
    <row r="27" spans="1:14" ht="15.6" x14ac:dyDescent="0.3">
      <c r="A27" s="571" t="s">
        <v>234</v>
      </c>
      <c r="B27" s="572">
        <f>C27/1000000</f>
        <v>2.0000000000000002E-5</v>
      </c>
      <c r="C27" s="573">
        <v>20</v>
      </c>
      <c r="D27" s="574"/>
      <c r="E27" s="516"/>
      <c r="F27" s="517"/>
      <c r="G27" s="517"/>
      <c r="H27" s="517"/>
      <c r="I27" s="517"/>
      <c r="J27" s="517"/>
      <c r="K27" s="497"/>
      <c r="L27" s="497"/>
    </row>
    <row r="28" spans="1:14" ht="15.6" x14ac:dyDescent="0.3">
      <c r="A28" s="518"/>
      <c r="B28" s="523"/>
      <c r="C28" s="515"/>
      <c r="D28" s="497"/>
      <c r="E28" s="516"/>
      <c r="F28" s="517"/>
      <c r="G28" s="517"/>
      <c r="H28" s="517"/>
      <c r="I28" s="517"/>
      <c r="J28" s="517"/>
      <c r="K28" s="497"/>
      <c r="L28" s="497"/>
    </row>
    <row r="29" spans="1:14" ht="15.6" x14ac:dyDescent="0.3">
      <c r="A29" s="498" t="s">
        <v>221</v>
      </c>
      <c r="B29" s="524"/>
      <c r="C29" s="515"/>
      <c r="D29" s="497"/>
      <c r="E29" s="516"/>
      <c r="F29" s="517"/>
      <c r="G29" s="517"/>
      <c r="H29" s="517"/>
      <c r="I29" s="517"/>
      <c r="J29" s="517"/>
      <c r="K29" s="497"/>
      <c r="L29" s="497"/>
    </row>
    <row r="30" spans="1:14" ht="15.6" x14ac:dyDescent="0.3">
      <c r="A30" s="513" t="s">
        <v>187</v>
      </c>
      <c r="B30" s="525">
        <v>12</v>
      </c>
      <c r="C30" s="526"/>
      <c r="D30" s="497"/>
      <c r="E30" s="516"/>
      <c r="F30" s="517"/>
      <c r="G30" s="517"/>
      <c r="H30" s="517"/>
      <c r="I30" s="517"/>
      <c r="J30" s="517"/>
      <c r="K30" s="497"/>
      <c r="L30" s="497"/>
    </row>
    <row r="31" spans="1:14" ht="19.2" customHeight="1" x14ac:dyDescent="0.3">
      <c r="A31" s="571" t="s">
        <v>235</v>
      </c>
      <c r="B31" s="525">
        <v>10</v>
      </c>
      <c r="C31" s="526"/>
      <c r="E31" s="503"/>
      <c r="F31" s="504"/>
      <c r="G31" s="504"/>
      <c r="H31" s="504"/>
      <c r="I31" s="504"/>
      <c r="J31" s="504"/>
      <c r="K31" s="497"/>
      <c r="L31" s="497"/>
      <c r="M31" s="497"/>
      <c r="N31" s="497"/>
    </row>
    <row r="32" spans="1:14" ht="19.2" customHeight="1" x14ac:dyDescent="0.3">
      <c r="A32" s="513" t="s">
        <v>222</v>
      </c>
      <c r="B32" s="506">
        <v>40</v>
      </c>
      <c r="C32" s="526">
        <v>25</v>
      </c>
      <c r="D32" s="497"/>
      <c r="E32" s="503"/>
      <c r="F32" s="504"/>
      <c r="G32" s="504"/>
      <c r="H32" s="504"/>
      <c r="I32" s="504"/>
      <c r="J32" s="504"/>
      <c r="K32" s="497"/>
      <c r="L32" s="497"/>
      <c r="M32" s="497"/>
      <c r="N32" s="497"/>
    </row>
    <row r="33" spans="1:14" ht="19.2" customHeight="1" x14ac:dyDescent="0.25">
      <c r="C33" s="527"/>
    </row>
    <row r="34" spans="1:14" ht="14.4" customHeight="1" x14ac:dyDescent="0.3">
      <c r="C34" s="527"/>
      <c r="E34" s="504"/>
      <c r="F34" s="512"/>
      <c r="G34" s="512"/>
      <c r="H34" s="512"/>
      <c r="I34" s="512"/>
      <c r="J34" s="512"/>
      <c r="K34" s="497"/>
      <c r="L34" s="497"/>
      <c r="M34" s="497"/>
      <c r="N34" s="497"/>
    </row>
    <row r="35" spans="1:14" ht="14.4" customHeight="1" x14ac:dyDescent="0.3">
      <c r="A35" s="529" t="s">
        <v>188</v>
      </c>
      <c r="B35" s="497"/>
      <c r="C35" s="527"/>
      <c r="E35" s="504"/>
      <c r="F35" s="528"/>
      <c r="G35" s="528"/>
      <c r="H35" s="528"/>
      <c r="I35" s="528"/>
      <c r="J35" s="528"/>
      <c r="K35" s="497"/>
      <c r="L35" s="497"/>
      <c r="M35" s="497"/>
      <c r="N35" s="497"/>
    </row>
    <row r="36" spans="1:14" ht="14.4" customHeight="1" x14ac:dyDescent="0.3">
      <c r="C36" s="527"/>
      <c r="E36" s="504"/>
      <c r="F36" s="517"/>
      <c r="G36" s="517"/>
      <c r="H36" s="517"/>
      <c r="I36" s="517"/>
      <c r="J36" s="517"/>
      <c r="K36" s="497"/>
      <c r="L36" s="497"/>
      <c r="M36" s="497"/>
      <c r="N36" s="497"/>
    </row>
    <row r="37" spans="1:14" ht="14.4" customHeight="1" x14ac:dyDescent="0.3">
      <c r="A37" s="552" t="s">
        <v>195</v>
      </c>
      <c r="B37" s="552"/>
      <c r="C37" s="553"/>
      <c r="E37" s="504"/>
      <c r="F37" s="517"/>
      <c r="G37" s="517"/>
      <c r="H37" s="517"/>
      <c r="I37" s="517"/>
      <c r="J37" s="517"/>
      <c r="K37" s="497"/>
      <c r="L37" s="497"/>
      <c r="M37" s="497"/>
      <c r="N37" s="497"/>
    </row>
    <row r="38" spans="1:14" ht="14.4" customHeight="1" x14ac:dyDescent="0.3">
      <c r="A38" s="552" t="s">
        <v>226</v>
      </c>
      <c r="B38" s="552"/>
      <c r="C38" s="553"/>
      <c r="E38" s="504"/>
      <c r="F38" s="517"/>
      <c r="G38" s="517"/>
      <c r="H38" s="517"/>
      <c r="I38" s="517"/>
      <c r="J38" s="517"/>
      <c r="K38" s="497"/>
      <c r="L38" s="497"/>
      <c r="M38" s="497"/>
      <c r="N38" s="497"/>
    </row>
    <row r="39" spans="1:14" ht="15.6" customHeight="1" x14ac:dyDescent="0.3">
      <c r="A39" s="552"/>
      <c r="B39" s="552"/>
      <c r="C39" s="553"/>
      <c r="E39" s="503"/>
      <c r="F39" s="504"/>
      <c r="G39" s="504"/>
      <c r="H39" s="504"/>
      <c r="I39" s="504"/>
      <c r="J39" s="504"/>
      <c r="K39" s="497"/>
      <c r="L39" s="497"/>
      <c r="M39" s="497"/>
      <c r="N39" s="497"/>
    </row>
    <row r="40" spans="1:14" ht="14.4" customHeight="1" x14ac:dyDescent="0.3">
      <c r="A40" s="552" t="s">
        <v>196</v>
      </c>
      <c r="B40" s="552"/>
      <c r="C40" s="553"/>
      <c r="D40" s="509"/>
      <c r="E40" s="504"/>
      <c r="F40" s="504"/>
      <c r="G40" s="504"/>
      <c r="H40" s="504"/>
      <c r="I40" s="504"/>
      <c r="J40" s="504"/>
      <c r="K40" s="497"/>
      <c r="L40" s="497"/>
      <c r="M40" s="497"/>
      <c r="N40" s="497"/>
    </row>
    <row r="41" spans="1:14" ht="14.4" customHeight="1" x14ac:dyDescent="0.3">
      <c r="A41" s="552"/>
      <c r="B41" s="552"/>
      <c r="C41" s="553"/>
      <c r="D41" s="509"/>
      <c r="E41" s="504"/>
      <c r="F41" s="512"/>
      <c r="G41" s="512"/>
      <c r="H41" s="512"/>
      <c r="I41" s="512"/>
      <c r="J41" s="512"/>
      <c r="K41" s="497"/>
      <c r="L41" s="497"/>
      <c r="M41" s="497"/>
      <c r="N41" s="497"/>
    </row>
    <row r="42" spans="1:14" ht="14.4" customHeight="1" x14ac:dyDescent="0.3">
      <c r="A42" s="590"/>
      <c r="B42" s="591"/>
      <c r="C42" s="591"/>
      <c r="D42" s="509"/>
      <c r="E42" s="504"/>
      <c r="F42" s="528"/>
      <c r="G42" s="528"/>
      <c r="H42" s="528"/>
      <c r="I42" s="528"/>
      <c r="J42" s="528"/>
      <c r="K42" s="497"/>
      <c r="L42" s="497"/>
      <c r="M42" s="497"/>
      <c r="N42" s="497"/>
    </row>
    <row r="43" spans="1:14" ht="14.4" customHeight="1" x14ac:dyDescent="0.3">
      <c r="A43" s="591"/>
      <c r="B43" s="591"/>
      <c r="C43" s="591"/>
      <c r="D43" s="509"/>
      <c r="E43" s="504"/>
      <c r="F43" s="517"/>
      <c r="G43" s="517"/>
      <c r="H43" s="517"/>
      <c r="I43" s="517"/>
      <c r="J43" s="517"/>
      <c r="K43" s="497"/>
      <c r="L43" s="497"/>
      <c r="M43" s="497"/>
      <c r="N43" s="497"/>
    </row>
    <row r="44" spans="1:14" ht="25.5" customHeight="1" x14ac:dyDescent="0.3">
      <c r="A44" s="591"/>
      <c r="B44" s="591"/>
      <c r="C44" s="591"/>
      <c r="E44" s="504"/>
      <c r="F44" s="517"/>
      <c r="G44" s="517"/>
      <c r="H44" s="517"/>
      <c r="I44" s="517"/>
      <c r="J44" s="517"/>
      <c r="K44" s="497"/>
      <c r="L44" s="497"/>
      <c r="M44" s="497"/>
      <c r="N44" s="497"/>
    </row>
    <row r="45" spans="1:14" ht="21" customHeight="1" x14ac:dyDescent="0.25">
      <c r="E45" s="497"/>
      <c r="F45" s="497"/>
      <c r="G45" s="497"/>
      <c r="H45" s="497"/>
      <c r="I45" s="497"/>
      <c r="J45" s="497"/>
      <c r="K45" s="497"/>
      <c r="L45" s="497"/>
      <c r="M45" s="497"/>
      <c r="N45" s="497"/>
    </row>
    <row r="46" spans="1:14" x14ac:dyDescent="0.25">
      <c r="E46" s="497"/>
      <c r="F46" s="497"/>
      <c r="G46" s="497"/>
      <c r="H46" s="497"/>
      <c r="I46" s="497"/>
      <c r="J46" s="497"/>
      <c r="K46" s="497"/>
      <c r="L46" s="497"/>
      <c r="M46" s="497"/>
      <c r="N46" s="497"/>
    </row>
    <row r="47" spans="1:14" x14ac:dyDescent="0.25">
      <c r="E47" s="497"/>
      <c r="F47" s="497"/>
      <c r="G47" s="497"/>
      <c r="H47" s="497"/>
      <c r="I47" s="497"/>
      <c r="J47" s="497"/>
      <c r="K47" s="497"/>
      <c r="L47" s="497"/>
      <c r="M47" s="497"/>
      <c r="N47" s="497"/>
    </row>
    <row r="48" spans="1:14" x14ac:dyDescent="0.25">
      <c r="E48" s="497"/>
      <c r="F48" s="497"/>
      <c r="G48" s="497"/>
      <c r="H48" s="497"/>
      <c r="I48" s="497"/>
      <c r="J48" s="497"/>
      <c r="K48" s="497"/>
      <c r="L48" s="497"/>
      <c r="M48" s="497"/>
      <c r="N48" s="497"/>
    </row>
    <row r="49" spans="5:14" x14ac:dyDescent="0.25">
      <c r="E49" s="497"/>
      <c r="F49" s="497"/>
      <c r="G49" s="497"/>
      <c r="H49" s="497"/>
      <c r="I49" s="497"/>
      <c r="J49" s="497"/>
      <c r="K49" s="497"/>
      <c r="L49" s="497"/>
      <c r="M49" s="497"/>
      <c r="N49" s="497"/>
    </row>
    <row r="50" spans="5:14" x14ac:dyDescent="0.25">
      <c r="E50" s="497"/>
      <c r="F50" s="497"/>
      <c r="G50" s="497"/>
      <c r="H50" s="497"/>
      <c r="I50" s="497"/>
      <c r="J50" s="497"/>
      <c r="K50" s="497"/>
      <c r="L50" s="497"/>
      <c r="M50" s="497"/>
      <c r="N50" s="497"/>
    </row>
    <row r="51" spans="5:14" x14ac:dyDescent="0.25">
      <c r="E51" s="497"/>
      <c r="F51" s="497"/>
      <c r="G51" s="497"/>
      <c r="H51" s="497"/>
      <c r="I51" s="497"/>
      <c r="J51" s="497"/>
      <c r="K51" s="497"/>
      <c r="L51" s="497"/>
      <c r="M51" s="497"/>
      <c r="N51" s="497"/>
    </row>
    <row r="52" spans="5:14" x14ac:dyDescent="0.25">
      <c r="E52" s="497"/>
      <c r="F52" s="497"/>
      <c r="G52" s="497"/>
      <c r="H52" s="497"/>
      <c r="I52" s="497"/>
      <c r="J52" s="497"/>
      <c r="K52" s="497"/>
      <c r="L52" s="497"/>
      <c r="M52" s="497"/>
      <c r="N52" s="497"/>
    </row>
    <row r="53" spans="5:14" x14ac:dyDescent="0.25">
      <c r="E53" s="497"/>
      <c r="F53" s="497"/>
      <c r="G53" s="497"/>
      <c r="H53" s="497"/>
      <c r="I53" s="497"/>
      <c r="J53" s="497"/>
      <c r="K53" s="497"/>
      <c r="L53" s="497"/>
      <c r="M53" s="497"/>
      <c r="N53" s="497"/>
    </row>
    <row r="54" spans="5:14" x14ac:dyDescent="0.25">
      <c r="E54" s="497"/>
      <c r="F54" s="497"/>
      <c r="G54" s="497"/>
      <c r="H54" s="497"/>
      <c r="I54" s="497"/>
      <c r="J54" s="497"/>
      <c r="K54" s="497"/>
      <c r="L54" s="497"/>
      <c r="M54" s="497"/>
      <c r="N54" s="497"/>
    </row>
    <row r="55" spans="5:14" x14ac:dyDescent="0.25">
      <c r="E55" s="497"/>
      <c r="F55" s="497"/>
      <c r="G55" s="497"/>
      <c r="H55" s="497"/>
      <c r="I55" s="497"/>
      <c r="J55" s="497"/>
      <c r="K55" s="497"/>
      <c r="L55" s="497"/>
      <c r="M55" s="497"/>
      <c r="N55" s="497"/>
    </row>
    <row r="56" spans="5:14" x14ac:dyDescent="0.25">
      <c r="E56" s="497"/>
      <c r="F56" s="497"/>
      <c r="G56" s="497"/>
      <c r="H56" s="497"/>
      <c r="I56" s="497"/>
      <c r="J56" s="497"/>
      <c r="K56" s="497"/>
      <c r="L56" s="497"/>
      <c r="M56" s="497"/>
      <c r="N56" s="497"/>
    </row>
    <row r="57" spans="5:14" x14ac:dyDescent="0.25">
      <c r="E57" s="497"/>
      <c r="F57" s="497"/>
      <c r="G57" s="497"/>
      <c r="H57" s="497"/>
      <c r="I57" s="497"/>
      <c r="J57" s="497"/>
      <c r="K57" s="497"/>
      <c r="L57" s="497"/>
      <c r="M57" s="497"/>
      <c r="N57" s="497"/>
    </row>
    <row r="58" spans="5:14" x14ac:dyDescent="0.25">
      <c r="E58" s="497"/>
      <c r="F58" s="497"/>
      <c r="G58" s="497"/>
      <c r="H58" s="497"/>
      <c r="I58" s="497"/>
      <c r="J58" s="497"/>
      <c r="K58" s="497"/>
      <c r="L58" s="497"/>
      <c r="M58" s="497"/>
      <c r="N58" s="497"/>
    </row>
    <row r="59" spans="5:14" x14ac:dyDescent="0.25">
      <c r="E59" s="497"/>
      <c r="F59" s="497"/>
      <c r="G59" s="497"/>
      <c r="H59" s="497"/>
      <c r="I59" s="497"/>
      <c r="J59" s="497"/>
      <c r="K59" s="497"/>
      <c r="L59" s="497"/>
      <c r="M59" s="497"/>
      <c r="N59" s="497"/>
    </row>
    <row r="60" spans="5:14" x14ac:dyDescent="0.25">
      <c r="E60" s="497"/>
      <c r="F60" s="497"/>
      <c r="G60" s="497"/>
      <c r="H60" s="497"/>
      <c r="I60" s="497"/>
      <c r="J60" s="497"/>
      <c r="K60" s="497"/>
      <c r="L60" s="497"/>
      <c r="M60" s="497"/>
      <c r="N60" s="497"/>
    </row>
  </sheetData>
  <mergeCells count="2">
    <mergeCell ref="A42:C44"/>
    <mergeCell ref="B1:F3"/>
  </mergeCells>
  <conditionalFormatting sqref="B18:C18 B19:B29">
    <cfRule type="cellIs" dxfId="25" priority="14" operator="lessThan">
      <formula>0</formula>
    </cfRule>
  </conditionalFormatting>
  <conditionalFormatting sqref="B17:C17">
    <cfRule type="cellIs" dxfId="24" priority="11" operator="lessThan">
      <formula>0</formula>
    </cfRule>
  </conditionalFormatting>
  <conditionalFormatting sqref="B32">
    <cfRule type="cellIs" dxfId="0" priority="1" operator="lessThan">
      <formula>0</formula>
    </cfRule>
  </conditionalFormatting>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44" r:id="rId4" name="Bildlaufleiste 4">
              <controlPr defaultSize="0" autoPict="0">
                <anchor moveWithCells="1">
                  <from>
                    <xdr:col>2</xdr:col>
                    <xdr:colOff>373380</xdr:colOff>
                    <xdr:row>16</xdr:row>
                    <xdr:rowOff>0</xdr:rowOff>
                  </from>
                  <to>
                    <xdr:col>3</xdr:col>
                    <xdr:colOff>60960</xdr:colOff>
                    <xdr:row>17</xdr:row>
                    <xdr:rowOff>0</xdr:rowOff>
                  </to>
                </anchor>
              </controlPr>
            </control>
          </mc:Choice>
        </mc:AlternateContent>
        <mc:AlternateContent xmlns:mc="http://schemas.openxmlformats.org/markup-compatibility/2006">
          <mc:Choice Requires="x14">
            <control shapeId="10264" r:id="rId5" name="Полоса прокр. 24">
              <controlPr defaultSize="0" autoPict="0">
                <anchor moveWithCells="1">
                  <from>
                    <xdr:col>2</xdr:col>
                    <xdr:colOff>373380</xdr:colOff>
                    <xdr:row>17</xdr:row>
                    <xdr:rowOff>152400</xdr:rowOff>
                  </from>
                  <to>
                    <xdr:col>3</xdr:col>
                    <xdr:colOff>60960</xdr:colOff>
                    <xdr:row>18</xdr:row>
                    <xdr:rowOff>152400</xdr:rowOff>
                  </to>
                </anchor>
              </controlPr>
            </control>
          </mc:Choice>
        </mc:AlternateContent>
        <mc:AlternateContent xmlns:mc="http://schemas.openxmlformats.org/markup-compatibility/2006">
          <mc:Choice Requires="x14">
            <control shapeId="10265" r:id="rId6" name="Полоса прокр. 25">
              <controlPr defaultSize="0" autoPict="0">
                <anchor moveWithCells="1">
                  <from>
                    <xdr:col>2</xdr:col>
                    <xdr:colOff>381000</xdr:colOff>
                    <xdr:row>18</xdr:row>
                    <xdr:rowOff>175260</xdr:rowOff>
                  </from>
                  <to>
                    <xdr:col>3</xdr:col>
                    <xdr:colOff>68580</xdr:colOff>
                    <xdr:row>19</xdr:row>
                    <xdr:rowOff>175260</xdr:rowOff>
                  </to>
                </anchor>
              </controlPr>
            </control>
          </mc:Choice>
        </mc:AlternateContent>
        <mc:AlternateContent xmlns:mc="http://schemas.openxmlformats.org/markup-compatibility/2006">
          <mc:Choice Requires="x14">
            <control shapeId="10266" r:id="rId7" name="Полоса прокр. 26">
              <controlPr defaultSize="0" autoPict="0">
                <anchor moveWithCells="1">
                  <from>
                    <xdr:col>2</xdr:col>
                    <xdr:colOff>373380</xdr:colOff>
                    <xdr:row>20</xdr:row>
                    <xdr:rowOff>7620</xdr:rowOff>
                  </from>
                  <to>
                    <xdr:col>3</xdr:col>
                    <xdr:colOff>60960</xdr:colOff>
                    <xdr:row>21</xdr:row>
                    <xdr:rowOff>7620</xdr:rowOff>
                  </to>
                </anchor>
              </controlPr>
            </control>
          </mc:Choice>
        </mc:AlternateContent>
        <mc:AlternateContent xmlns:mc="http://schemas.openxmlformats.org/markup-compatibility/2006">
          <mc:Choice Requires="x14">
            <control shapeId="10267" r:id="rId8" name="Полоса прокр. 27">
              <controlPr defaultSize="0" autoPict="0">
                <anchor moveWithCells="1">
                  <from>
                    <xdr:col>2</xdr:col>
                    <xdr:colOff>373380</xdr:colOff>
                    <xdr:row>23</xdr:row>
                    <xdr:rowOff>0</xdr:rowOff>
                  </from>
                  <to>
                    <xdr:col>3</xdr:col>
                    <xdr:colOff>60960</xdr:colOff>
                    <xdr:row>24</xdr:row>
                    <xdr:rowOff>0</xdr:rowOff>
                  </to>
                </anchor>
              </controlPr>
            </control>
          </mc:Choice>
        </mc:AlternateContent>
        <mc:AlternateContent xmlns:mc="http://schemas.openxmlformats.org/markup-compatibility/2006">
          <mc:Choice Requires="x14">
            <control shapeId="10268" r:id="rId9" name="Scroll Bar 28">
              <controlPr defaultSize="0" autoPict="0">
                <anchor moveWithCells="1">
                  <from>
                    <xdr:col>2</xdr:col>
                    <xdr:colOff>373380</xdr:colOff>
                    <xdr:row>24</xdr:row>
                    <xdr:rowOff>0</xdr:rowOff>
                  </from>
                  <to>
                    <xdr:col>3</xdr:col>
                    <xdr:colOff>60960</xdr:colOff>
                    <xdr:row>25</xdr:row>
                    <xdr:rowOff>0</xdr:rowOff>
                  </to>
                </anchor>
              </controlPr>
            </control>
          </mc:Choice>
        </mc:AlternateContent>
        <mc:AlternateContent xmlns:mc="http://schemas.openxmlformats.org/markup-compatibility/2006">
          <mc:Choice Requires="x14">
            <control shapeId="10269" r:id="rId10" name="Scroll Bar 29">
              <controlPr defaultSize="0" autoPict="0">
                <anchor moveWithCells="1">
                  <from>
                    <xdr:col>2</xdr:col>
                    <xdr:colOff>373380</xdr:colOff>
                    <xdr:row>24</xdr:row>
                    <xdr:rowOff>0</xdr:rowOff>
                  </from>
                  <to>
                    <xdr:col>3</xdr:col>
                    <xdr:colOff>60960</xdr:colOff>
                    <xdr:row>25</xdr:row>
                    <xdr:rowOff>0</xdr:rowOff>
                  </to>
                </anchor>
              </controlPr>
            </control>
          </mc:Choice>
        </mc:AlternateContent>
        <mc:AlternateContent xmlns:mc="http://schemas.openxmlformats.org/markup-compatibility/2006">
          <mc:Choice Requires="x14">
            <control shapeId="10270" r:id="rId11" name="Scroll Bar 30">
              <controlPr defaultSize="0" autoPict="0">
                <anchor moveWithCells="1">
                  <from>
                    <xdr:col>2</xdr:col>
                    <xdr:colOff>373380</xdr:colOff>
                    <xdr:row>25</xdr:row>
                    <xdr:rowOff>0</xdr:rowOff>
                  </from>
                  <to>
                    <xdr:col>3</xdr:col>
                    <xdr:colOff>60960</xdr:colOff>
                    <xdr:row>26</xdr:row>
                    <xdr:rowOff>0</xdr:rowOff>
                  </to>
                </anchor>
              </controlPr>
            </control>
          </mc:Choice>
        </mc:AlternateContent>
        <mc:AlternateContent xmlns:mc="http://schemas.openxmlformats.org/markup-compatibility/2006">
          <mc:Choice Requires="x14">
            <control shapeId="10271" r:id="rId12" name="Scroll Bar 31">
              <controlPr defaultSize="0" autoPict="0">
                <anchor moveWithCells="1">
                  <from>
                    <xdr:col>2</xdr:col>
                    <xdr:colOff>373380</xdr:colOff>
                    <xdr:row>26</xdr:row>
                    <xdr:rowOff>0</xdr:rowOff>
                  </from>
                  <to>
                    <xdr:col>3</xdr:col>
                    <xdr:colOff>60960</xdr:colOff>
                    <xdr:row>27</xdr:row>
                    <xdr:rowOff>0</xdr:rowOff>
                  </to>
                </anchor>
              </controlPr>
            </control>
          </mc:Choice>
        </mc:AlternateContent>
        <mc:AlternateContent xmlns:mc="http://schemas.openxmlformats.org/markup-compatibility/2006">
          <mc:Choice Requires="x14">
            <control shapeId="10272" r:id="rId13" name="Полоса прокр. 32">
              <controlPr defaultSize="0" autoPict="0">
                <anchor moveWithCells="1">
                  <from>
                    <xdr:col>2</xdr:col>
                    <xdr:colOff>373380</xdr:colOff>
                    <xdr:row>29</xdr:row>
                    <xdr:rowOff>0</xdr:rowOff>
                  </from>
                  <to>
                    <xdr:col>3</xdr:col>
                    <xdr:colOff>60960</xdr:colOff>
                    <xdr:row>30</xdr:row>
                    <xdr:rowOff>0</xdr:rowOff>
                  </to>
                </anchor>
              </controlPr>
            </control>
          </mc:Choice>
        </mc:AlternateContent>
        <mc:AlternateContent xmlns:mc="http://schemas.openxmlformats.org/markup-compatibility/2006">
          <mc:Choice Requires="x14">
            <control shapeId="10274" r:id="rId14" name="Полоса прокр. 34">
              <controlPr defaultSize="0" autoPict="0">
                <anchor moveWithCells="1">
                  <from>
                    <xdr:col>2</xdr:col>
                    <xdr:colOff>373380</xdr:colOff>
                    <xdr:row>30</xdr:row>
                    <xdr:rowOff>38100</xdr:rowOff>
                  </from>
                  <to>
                    <xdr:col>3</xdr:col>
                    <xdr:colOff>60960</xdr:colOff>
                    <xdr:row>30</xdr:row>
                    <xdr:rowOff>236220</xdr:rowOff>
                  </to>
                </anchor>
              </controlPr>
            </control>
          </mc:Choice>
        </mc:AlternateContent>
        <mc:AlternateContent xmlns:mc="http://schemas.openxmlformats.org/markup-compatibility/2006">
          <mc:Choice Requires="x14">
            <control shapeId="10276" r:id="rId15" name="Полоса прокр. 36">
              <controlPr defaultSize="0" autoPict="0">
                <anchor moveWithCells="1">
                  <from>
                    <xdr:col>2</xdr:col>
                    <xdr:colOff>358140</xdr:colOff>
                    <xdr:row>31</xdr:row>
                    <xdr:rowOff>53340</xdr:rowOff>
                  </from>
                  <to>
                    <xdr:col>3</xdr:col>
                    <xdr:colOff>38100</xdr:colOff>
                    <xdr:row>31</xdr:row>
                    <xdr:rowOff>236220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CAB82-F586-446E-812D-6DD0424DB23F}">
  <sheetPr codeName="Worksheet____4">
    <tabColor theme="3"/>
  </sheetPr>
  <dimension ref="A1:AN80"/>
  <sheetViews>
    <sheetView zoomScale="80" zoomScaleNormal="80" zoomScaleSheetLayoutView="100" workbookViewId="0">
      <pane xSplit="7" ySplit="17" topLeftCell="H61" activePane="bottomRight" state="frozen"/>
      <selection pane="topRight" activeCell="H1" sqref="H1"/>
      <selection pane="bottomLeft" activeCell="A18" sqref="A18"/>
      <selection pane="bottomRight" activeCell="A63" sqref="A63:XFD63"/>
    </sheetView>
  </sheetViews>
  <sheetFormatPr baseColWidth="10" defaultColWidth="11.5546875" defaultRowHeight="14.4" outlineLevelCol="1" x14ac:dyDescent="0.3"/>
  <cols>
    <col min="1" max="1" width="3.33203125" style="316" customWidth="1"/>
    <col min="2" max="2" width="85.5546875" style="316" bestFit="1" customWidth="1"/>
    <col min="3" max="3" width="20.33203125" style="316" customWidth="1"/>
    <col min="4" max="4" width="18.33203125" style="316" customWidth="1" outlineLevel="1"/>
    <col min="5" max="5" width="18.6640625" style="316" customWidth="1" outlineLevel="1"/>
    <col min="6" max="6" width="19" style="316" customWidth="1" outlineLevel="1"/>
    <col min="7" max="7" width="19.109375" style="316" customWidth="1" outlineLevel="1"/>
    <col min="8" max="8" width="19.5546875" style="316" bestFit="1" customWidth="1"/>
    <col min="9" max="9" width="18.6640625" style="316" customWidth="1" outlineLevel="1"/>
    <col min="10" max="11" width="19.5546875" style="316" customWidth="1" outlineLevel="1"/>
    <col min="12" max="12" width="18.6640625" style="316" customWidth="1" outlineLevel="1"/>
    <col min="13" max="13" width="19.109375" style="316" customWidth="1"/>
    <col min="14" max="14" width="19.109375" style="316" customWidth="1" outlineLevel="1"/>
    <col min="15" max="15" width="20.5546875" style="316" customWidth="1" outlineLevel="1"/>
    <col min="16" max="17" width="19.109375" style="316" customWidth="1" outlineLevel="1"/>
    <col min="18" max="18" width="19.109375" style="316" customWidth="1"/>
    <col min="19" max="19" width="19.109375" style="316" customWidth="1" outlineLevel="1"/>
    <col min="20" max="20" width="20.109375" style="316" customWidth="1" outlineLevel="1"/>
    <col min="21" max="21" width="19.5546875" style="316" customWidth="1" outlineLevel="1"/>
    <col min="22" max="22" width="18.6640625" style="316" customWidth="1" outlineLevel="1"/>
    <col min="23" max="23" width="19.5546875" style="316" customWidth="1"/>
    <col min="24" max="24" width="19.109375" style="316" customWidth="1" outlineLevel="1"/>
    <col min="25" max="25" width="20.109375" style="316" customWidth="1" outlineLevel="1"/>
    <col min="26" max="26" width="19.5546875" style="316" customWidth="1" outlineLevel="1"/>
    <col min="27" max="27" width="19.33203125" style="316" customWidth="1" outlineLevel="1"/>
    <col min="28" max="28" width="20.5546875" style="316" bestFit="1" customWidth="1"/>
    <col min="29" max="29" width="20.88671875" style="316" customWidth="1" outlineLevel="1"/>
    <col min="30" max="31" width="21.5546875" style="316" customWidth="1" outlineLevel="1"/>
    <col min="32" max="32" width="22.6640625" style="316" customWidth="1" outlineLevel="1"/>
    <col min="33" max="33" width="22.6640625" style="316" bestFit="1" customWidth="1"/>
    <col min="34" max="34" width="19.109375" style="316" customWidth="1"/>
    <col min="35" max="35" width="20.5546875" style="316" bestFit="1" customWidth="1"/>
    <col min="36" max="36" width="29.33203125" style="316" customWidth="1"/>
    <col min="37" max="39" width="15.6640625" style="316" bestFit="1" customWidth="1"/>
    <col min="40" max="16384" width="11.5546875" style="316"/>
  </cols>
  <sheetData>
    <row r="1" spans="1:33" x14ac:dyDescent="0.3">
      <c r="B1" s="317"/>
      <c r="C1" s="318"/>
    </row>
    <row r="2" spans="1:33" x14ac:dyDescent="0.3">
      <c r="B2" s="319" t="s">
        <v>107</v>
      </c>
      <c r="C2" s="317"/>
      <c r="D2" s="317"/>
    </row>
    <row r="3" spans="1:33" ht="15.6" x14ac:dyDescent="0.3">
      <c r="A3" s="317"/>
      <c r="B3" s="431" t="s">
        <v>182</v>
      </c>
      <c r="C3" s="321">
        <f>Dashboard!B16*1000000</f>
        <v>54545454.545454539</v>
      </c>
    </row>
    <row r="4" spans="1:33" ht="15.6" x14ac:dyDescent="0.3">
      <c r="A4" s="317"/>
      <c r="B4" s="454" t="s">
        <v>200</v>
      </c>
      <c r="C4" s="323">
        <f>Dashboard!B17*1000000</f>
        <v>30000000</v>
      </c>
    </row>
    <row r="5" spans="1:33" ht="15.6" x14ac:dyDescent="0.3">
      <c r="A5" s="317"/>
      <c r="B5" s="320" t="s">
        <v>47</v>
      </c>
      <c r="C5" s="324">
        <v>1</v>
      </c>
    </row>
    <row r="6" spans="1:33" ht="15.6" x14ac:dyDescent="0.3">
      <c r="A6" s="317"/>
      <c r="B6" s="322" t="s">
        <v>136</v>
      </c>
      <c r="C6" s="323">
        <f>C4/C10*'User Data SwipeStox'!B47</f>
        <v>1800</v>
      </c>
    </row>
    <row r="7" spans="1:33" ht="15.6" x14ac:dyDescent="0.3">
      <c r="A7" s="317"/>
      <c r="B7" s="325" t="s">
        <v>171</v>
      </c>
      <c r="C7" s="323">
        <f>'User Data Switex'!B33</f>
        <v>4364</v>
      </c>
    </row>
    <row r="8" spans="1:33" ht="15.6" x14ac:dyDescent="0.3">
      <c r="A8" s="317"/>
      <c r="B8" s="431" t="s">
        <v>224</v>
      </c>
      <c r="C8" s="327">
        <v>1</v>
      </c>
      <c r="R8" s="326"/>
    </row>
    <row r="9" spans="1:33" ht="15.6" x14ac:dyDescent="0.3">
      <c r="B9" s="431" t="s">
        <v>225</v>
      </c>
      <c r="C9" s="327">
        <f>Dashboard!B32/100</f>
        <v>0.4</v>
      </c>
    </row>
    <row r="10" spans="1:33" ht="15.6" x14ac:dyDescent="0.3">
      <c r="B10" s="431" t="s">
        <v>223</v>
      </c>
      <c r="C10" s="321">
        <v>5000</v>
      </c>
    </row>
    <row r="11" spans="1:33" ht="15.6" x14ac:dyDescent="0.3">
      <c r="B11" s="397"/>
      <c r="C11" s="397"/>
      <c r="D11" s="575"/>
      <c r="E11" s="576"/>
      <c r="F11" s="576"/>
      <c r="G11" s="576"/>
      <c r="H11" s="576"/>
    </row>
    <row r="12" spans="1:33" ht="15.6" x14ac:dyDescent="0.3">
      <c r="B12" s="396"/>
      <c r="C12" s="397"/>
      <c r="D12" s="317"/>
    </row>
    <row r="13" spans="1:33" x14ac:dyDescent="0.3">
      <c r="B13" s="328" t="s">
        <v>72</v>
      </c>
    </row>
    <row r="14" spans="1:33" ht="15.6" x14ac:dyDescent="0.3">
      <c r="B14" s="621"/>
      <c r="C14" s="622"/>
      <c r="D14" s="627">
        <v>2017</v>
      </c>
      <c r="E14" s="627"/>
      <c r="F14" s="627"/>
      <c r="G14" s="627"/>
      <c r="H14" s="614" t="s">
        <v>9</v>
      </c>
      <c r="I14" s="627">
        <v>2018</v>
      </c>
      <c r="J14" s="627"/>
      <c r="K14" s="627"/>
      <c r="L14" s="627"/>
      <c r="M14" s="614" t="s">
        <v>10</v>
      </c>
      <c r="N14" s="627">
        <v>2019</v>
      </c>
      <c r="O14" s="627"/>
      <c r="P14" s="627"/>
      <c r="Q14" s="627"/>
      <c r="R14" s="614" t="s">
        <v>11</v>
      </c>
      <c r="S14" s="627">
        <v>2020</v>
      </c>
      <c r="T14" s="627"/>
      <c r="U14" s="627"/>
      <c r="V14" s="627"/>
      <c r="W14" s="614" t="s">
        <v>12</v>
      </c>
      <c r="X14" s="627">
        <v>2021</v>
      </c>
      <c r="Y14" s="627"/>
      <c r="Z14" s="627"/>
      <c r="AA14" s="627"/>
      <c r="AB14" s="614" t="s">
        <v>22</v>
      </c>
      <c r="AC14" s="627">
        <v>2022</v>
      </c>
      <c r="AD14" s="627"/>
      <c r="AE14" s="627"/>
      <c r="AF14" s="627"/>
      <c r="AG14" s="614" t="s">
        <v>23</v>
      </c>
    </row>
    <row r="15" spans="1:33" x14ac:dyDescent="0.3">
      <c r="B15" s="623"/>
      <c r="C15" s="624"/>
      <c r="D15" s="329" t="s">
        <v>0</v>
      </c>
      <c r="E15" s="329" t="s">
        <v>1</v>
      </c>
      <c r="F15" s="329" t="s">
        <v>2</v>
      </c>
      <c r="G15" s="329" t="s">
        <v>3</v>
      </c>
      <c r="H15" s="629"/>
      <c r="I15" s="329" t="s">
        <v>24</v>
      </c>
      <c r="J15" s="329" t="s">
        <v>25</v>
      </c>
      <c r="K15" s="329" t="s">
        <v>26</v>
      </c>
      <c r="L15" s="329" t="s">
        <v>27</v>
      </c>
      <c r="M15" s="615"/>
      <c r="N15" s="329" t="s">
        <v>31</v>
      </c>
      <c r="O15" s="329" t="s">
        <v>30</v>
      </c>
      <c r="P15" s="329" t="s">
        <v>29</v>
      </c>
      <c r="Q15" s="329" t="s">
        <v>28</v>
      </c>
      <c r="R15" s="615"/>
      <c r="S15" s="329" t="s">
        <v>32</v>
      </c>
      <c r="T15" s="329" t="s">
        <v>33</v>
      </c>
      <c r="U15" s="329" t="s">
        <v>34</v>
      </c>
      <c r="V15" s="329" t="s">
        <v>35</v>
      </c>
      <c r="W15" s="615"/>
      <c r="X15" s="329" t="s">
        <v>36</v>
      </c>
      <c r="Y15" s="329" t="s">
        <v>37</v>
      </c>
      <c r="Z15" s="329" t="s">
        <v>38</v>
      </c>
      <c r="AA15" s="329" t="s">
        <v>39</v>
      </c>
      <c r="AB15" s="615"/>
      <c r="AC15" s="329" t="s">
        <v>41</v>
      </c>
      <c r="AD15" s="329" t="s">
        <v>42</v>
      </c>
      <c r="AE15" s="329" t="s">
        <v>43</v>
      </c>
      <c r="AF15" s="329" t="s">
        <v>40</v>
      </c>
      <c r="AG15" s="615"/>
    </row>
    <row r="16" spans="1:33" x14ac:dyDescent="0.3">
      <c r="B16" s="330"/>
      <c r="C16" s="331"/>
      <c r="D16" s="332" t="s">
        <v>110</v>
      </c>
      <c r="E16" s="332" t="s">
        <v>110</v>
      </c>
      <c r="F16" s="332" t="s">
        <v>227</v>
      </c>
      <c r="G16" s="332" t="s">
        <v>111</v>
      </c>
      <c r="H16" s="333" t="s">
        <v>138</v>
      </c>
      <c r="I16" s="332" t="s">
        <v>111</v>
      </c>
      <c r="J16" s="332" t="s">
        <v>111</v>
      </c>
      <c r="K16" s="332" t="s">
        <v>111</v>
      </c>
      <c r="L16" s="332" t="s">
        <v>111</v>
      </c>
      <c r="M16" s="393" t="s">
        <v>111</v>
      </c>
      <c r="N16" s="332" t="s">
        <v>111</v>
      </c>
      <c r="O16" s="332" t="s">
        <v>111</v>
      </c>
      <c r="P16" s="332" t="s">
        <v>111</v>
      </c>
      <c r="Q16" s="332" t="s">
        <v>111</v>
      </c>
      <c r="R16" s="333" t="s">
        <v>111</v>
      </c>
      <c r="S16" s="332" t="s">
        <v>111</v>
      </c>
      <c r="T16" s="332" t="s">
        <v>111</v>
      </c>
      <c r="U16" s="332" t="s">
        <v>111</v>
      </c>
      <c r="V16" s="332" t="s">
        <v>111</v>
      </c>
      <c r="W16" s="393" t="s">
        <v>111</v>
      </c>
      <c r="X16" s="332" t="s">
        <v>111</v>
      </c>
      <c r="Y16" s="332" t="s">
        <v>111</v>
      </c>
      <c r="Z16" s="332" t="s">
        <v>111</v>
      </c>
      <c r="AA16" s="332" t="s">
        <v>111</v>
      </c>
      <c r="AB16" s="333" t="s">
        <v>111</v>
      </c>
      <c r="AC16" s="332" t="s">
        <v>111</v>
      </c>
      <c r="AD16" s="332" t="s">
        <v>111</v>
      </c>
      <c r="AE16" s="332" t="s">
        <v>111</v>
      </c>
      <c r="AF16" s="332" t="s">
        <v>111</v>
      </c>
      <c r="AG16" s="333" t="s">
        <v>111</v>
      </c>
    </row>
    <row r="17" spans="2:40" x14ac:dyDescent="0.3">
      <c r="B17" s="602" t="s">
        <v>175</v>
      </c>
      <c r="C17" s="603"/>
      <c r="D17" s="334">
        <v>1.06</v>
      </c>
      <c r="E17" s="334">
        <v>1.1200000000000001</v>
      </c>
      <c r="F17" s="334">
        <v>1.18</v>
      </c>
      <c r="G17" s="334">
        <v>1.2</v>
      </c>
      <c r="H17" s="335">
        <v>1.1399999999999999</v>
      </c>
      <c r="I17" s="394">
        <v>1.2</v>
      </c>
      <c r="J17" s="394">
        <v>1.2</v>
      </c>
      <c r="K17" s="394">
        <v>1.2</v>
      </c>
      <c r="L17" s="394">
        <v>1.2</v>
      </c>
      <c r="M17" s="395">
        <v>1.2</v>
      </c>
      <c r="N17" s="394">
        <v>1.2</v>
      </c>
      <c r="O17" s="394">
        <v>1.2</v>
      </c>
      <c r="P17" s="394">
        <v>1.2</v>
      </c>
      <c r="Q17" s="394">
        <v>1.2</v>
      </c>
      <c r="R17" s="395">
        <v>1.2</v>
      </c>
      <c r="S17" s="394">
        <v>1.2</v>
      </c>
      <c r="T17" s="394">
        <v>1.2</v>
      </c>
      <c r="U17" s="394">
        <v>1.2</v>
      </c>
      <c r="V17" s="394">
        <v>1.2</v>
      </c>
      <c r="W17" s="395">
        <v>1.2</v>
      </c>
      <c r="X17" s="394">
        <v>1.2</v>
      </c>
      <c r="Y17" s="394">
        <v>1.2</v>
      </c>
      <c r="Z17" s="394">
        <v>1.2</v>
      </c>
      <c r="AA17" s="394">
        <v>1.2</v>
      </c>
      <c r="AB17" s="395">
        <v>1.2</v>
      </c>
      <c r="AC17" s="394">
        <v>1.2</v>
      </c>
      <c r="AD17" s="394">
        <v>1.2</v>
      </c>
      <c r="AE17" s="394">
        <v>1.2</v>
      </c>
      <c r="AF17" s="394">
        <v>1.2</v>
      </c>
      <c r="AG17" s="395">
        <v>1.2</v>
      </c>
    </row>
    <row r="18" spans="2:40" x14ac:dyDescent="0.3">
      <c r="C18" s="336"/>
      <c r="D18" s="337"/>
      <c r="E18" s="337"/>
      <c r="F18" s="337"/>
      <c r="G18" s="337"/>
      <c r="H18" s="337"/>
      <c r="I18" s="337"/>
      <c r="J18" s="337"/>
      <c r="K18" s="337"/>
      <c r="L18" s="337"/>
      <c r="M18" s="337"/>
      <c r="N18" s="337"/>
      <c r="O18" s="337"/>
      <c r="P18" s="337"/>
      <c r="Q18" s="337"/>
      <c r="R18" s="338"/>
      <c r="S18" s="337"/>
      <c r="T18" s="337"/>
      <c r="U18" s="337"/>
      <c r="V18" s="337"/>
      <c r="W18" s="338"/>
      <c r="X18" s="337"/>
      <c r="Y18" s="337"/>
      <c r="Z18" s="337"/>
      <c r="AA18" s="337"/>
      <c r="AB18" s="338"/>
      <c r="AC18" s="337"/>
      <c r="AD18" s="337"/>
      <c r="AE18" s="337"/>
      <c r="AF18" s="337"/>
      <c r="AG18" s="338"/>
    </row>
    <row r="19" spans="2:40" ht="21" x14ac:dyDescent="0.4">
      <c r="B19" s="598" t="s">
        <v>112</v>
      </c>
      <c r="C19" s="599"/>
      <c r="D19" s="599"/>
      <c r="E19" s="599"/>
      <c r="F19" s="599"/>
      <c r="G19" s="599"/>
      <c r="H19" s="599"/>
      <c r="I19" s="599"/>
      <c r="J19" s="599"/>
      <c r="K19" s="599"/>
      <c r="L19" s="599"/>
      <c r="M19" s="599"/>
      <c r="N19" s="599"/>
      <c r="O19" s="599"/>
      <c r="P19" s="599"/>
      <c r="Q19" s="599"/>
      <c r="R19" s="599"/>
      <c r="S19" s="599"/>
      <c r="T19" s="599"/>
      <c r="U19" s="599"/>
      <c r="V19" s="599"/>
      <c r="W19" s="599"/>
      <c r="X19" s="599"/>
      <c r="Y19" s="599"/>
      <c r="Z19" s="599"/>
      <c r="AA19" s="599"/>
      <c r="AB19" s="599"/>
      <c r="AC19" s="599"/>
      <c r="AD19" s="599"/>
      <c r="AE19" s="599"/>
      <c r="AF19" s="599"/>
      <c r="AG19" s="601"/>
      <c r="AJ19" s="339"/>
      <c r="AK19" s="339"/>
      <c r="AL19" s="339"/>
      <c r="AM19" s="339"/>
    </row>
    <row r="20" spans="2:40" s="317" customFormat="1" ht="16.5" customHeight="1" x14ac:dyDescent="0.4">
      <c r="B20" s="340"/>
      <c r="C20" s="340"/>
      <c r="D20" s="340"/>
      <c r="E20" s="340"/>
      <c r="F20" s="340"/>
      <c r="G20" s="340"/>
      <c r="H20" s="340"/>
      <c r="I20" s="340"/>
      <c r="J20" s="340"/>
      <c r="K20" s="340"/>
      <c r="L20" s="340"/>
      <c r="M20" s="340"/>
      <c r="N20" s="340"/>
      <c r="O20" s="340"/>
      <c r="P20" s="340"/>
      <c r="Q20" s="340"/>
      <c r="R20" s="340"/>
      <c r="S20" s="340"/>
      <c r="T20" s="340"/>
      <c r="U20" s="340"/>
      <c r="V20" s="340"/>
      <c r="W20" s="340"/>
      <c r="X20" s="340"/>
      <c r="Y20" s="340"/>
      <c r="Z20" s="340"/>
      <c r="AA20" s="340"/>
      <c r="AB20" s="340"/>
      <c r="AC20" s="340"/>
      <c r="AD20" s="340"/>
      <c r="AE20" s="340"/>
      <c r="AF20" s="340"/>
      <c r="AG20" s="340"/>
      <c r="AI20" s="316"/>
      <c r="AJ20" s="339"/>
      <c r="AK20" s="339"/>
      <c r="AL20" s="339"/>
      <c r="AM20" s="339"/>
    </row>
    <row r="21" spans="2:40" x14ac:dyDescent="0.3">
      <c r="B21" s="625" t="s">
        <v>164</v>
      </c>
      <c r="C21" s="626"/>
      <c r="D21" s="341"/>
      <c r="E21" s="341"/>
      <c r="F21" s="341"/>
      <c r="G21" s="341"/>
      <c r="H21" s="342"/>
      <c r="I21" s="451">
        <f>I48+I64</f>
        <v>1.1419501924629585E-2</v>
      </c>
      <c r="J21" s="451">
        <f>J48+J64</f>
        <v>1.4381431190847026E-2</v>
      </c>
      <c r="K21" s="451">
        <f>K48+K64</f>
        <v>1.6337744384731196E-2</v>
      </c>
      <c r="L21" s="451">
        <f>L48+L64</f>
        <v>1.7921704954582604E-2</v>
      </c>
      <c r="M21" s="452">
        <f>L21</f>
        <v>1.7921704954582604E-2</v>
      </c>
      <c r="N21" s="451">
        <f>N48+N64</f>
        <v>1.9312639258059899E-2</v>
      </c>
      <c r="O21" s="451">
        <f>O48+O64</f>
        <v>2.0745384383913591E-2</v>
      </c>
      <c r="P21" s="451">
        <f>P48+P64</f>
        <v>2.1955853415980876E-2</v>
      </c>
      <c r="Q21" s="451">
        <f>Q48+Q64</f>
        <v>2.508590801350661E-2</v>
      </c>
      <c r="R21" s="452">
        <f>Q21</f>
        <v>2.508590801350661E-2</v>
      </c>
      <c r="S21" s="451">
        <f>S48+S64</f>
        <v>2.5639849393211057E-2</v>
      </c>
      <c r="T21" s="451">
        <f>T48+T64</f>
        <v>2.6235813516582544E-2</v>
      </c>
      <c r="U21" s="451">
        <f>U48+U64</f>
        <v>2.7164827857609642E-2</v>
      </c>
      <c r="V21" s="451">
        <f>V48+V64</f>
        <v>2.8379098747538047E-2</v>
      </c>
      <c r="W21" s="452">
        <f>V21</f>
        <v>2.8379098747538047E-2</v>
      </c>
      <c r="X21" s="451">
        <f>X48+X64</f>
        <v>3.2525757989007191E-2</v>
      </c>
      <c r="Y21" s="451">
        <f>Y48+Y64</f>
        <v>3.4167738241807036E-2</v>
      </c>
      <c r="Z21" s="451">
        <f>Z48+Z64</f>
        <v>3.6089161179690618E-2</v>
      </c>
      <c r="AA21" s="451">
        <f>AA48+AA64</f>
        <v>4.2905100395120938E-2</v>
      </c>
      <c r="AB21" s="452">
        <f>AA21</f>
        <v>4.2905100395120938E-2</v>
      </c>
      <c r="AC21" s="451">
        <f>AC48+AC64</f>
        <v>4.7949976233936584E-2</v>
      </c>
      <c r="AD21" s="451">
        <f>AD48+AD64</f>
        <v>6.9596581259132817E-2</v>
      </c>
      <c r="AE21" s="451">
        <f>AE48+AE64</f>
        <v>8.5440940207174881E-2</v>
      </c>
      <c r="AF21" s="451">
        <f>AF48+AF64</f>
        <v>0.10937421364294861</v>
      </c>
      <c r="AG21" s="452">
        <f>AF21</f>
        <v>0.10937421364294861</v>
      </c>
      <c r="AJ21" s="339"/>
      <c r="AK21" s="339"/>
      <c r="AL21" s="339"/>
      <c r="AM21" s="339"/>
    </row>
    <row r="22" spans="2:40" x14ac:dyDescent="0.3">
      <c r="B22" s="616" t="s">
        <v>180</v>
      </c>
      <c r="C22" s="617"/>
      <c r="D22" s="344"/>
      <c r="E22" s="344"/>
      <c r="F22" s="344"/>
      <c r="G22" s="344"/>
      <c r="H22" s="345"/>
      <c r="I22" s="344">
        <f>$C$3</f>
        <v>54545454.545454539</v>
      </c>
      <c r="J22" s="344">
        <f t="shared" ref="J22:AG22" si="0">$C$3</f>
        <v>54545454.545454539</v>
      </c>
      <c r="K22" s="344">
        <f t="shared" si="0"/>
        <v>54545454.545454539</v>
      </c>
      <c r="L22" s="344">
        <f t="shared" si="0"/>
        <v>54545454.545454539</v>
      </c>
      <c r="M22" s="346">
        <f t="shared" si="0"/>
        <v>54545454.545454539</v>
      </c>
      <c r="N22" s="344">
        <f t="shared" si="0"/>
        <v>54545454.545454539</v>
      </c>
      <c r="O22" s="344">
        <f t="shared" si="0"/>
        <v>54545454.545454539</v>
      </c>
      <c r="P22" s="344">
        <f t="shared" si="0"/>
        <v>54545454.545454539</v>
      </c>
      <c r="Q22" s="344">
        <f t="shared" si="0"/>
        <v>54545454.545454539</v>
      </c>
      <c r="R22" s="346">
        <f t="shared" si="0"/>
        <v>54545454.545454539</v>
      </c>
      <c r="S22" s="344">
        <f t="shared" si="0"/>
        <v>54545454.545454539</v>
      </c>
      <c r="T22" s="344">
        <f t="shared" si="0"/>
        <v>54545454.545454539</v>
      </c>
      <c r="U22" s="344">
        <f t="shared" si="0"/>
        <v>54545454.545454539</v>
      </c>
      <c r="V22" s="344">
        <f t="shared" si="0"/>
        <v>54545454.545454539</v>
      </c>
      <c r="W22" s="346">
        <f t="shared" si="0"/>
        <v>54545454.545454539</v>
      </c>
      <c r="X22" s="347">
        <f t="shared" si="0"/>
        <v>54545454.545454539</v>
      </c>
      <c r="Y22" s="344">
        <f t="shared" si="0"/>
        <v>54545454.545454539</v>
      </c>
      <c r="Z22" s="344">
        <f t="shared" si="0"/>
        <v>54545454.545454539</v>
      </c>
      <c r="AA22" s="348">
        <f t="shared" si="0"/>
        <v>54545454.545454539</v>
      </c>
      <c r="AB22" s="346">
        <f t="shared" si="0"/>
        <v>54545454.545454539</v>
      </c>
      <c r="AC22" s="347">
        <f t="shared" si="0"/>
        <v>54545454.545454539</v>
      </c>
      <c r="AD22" s="344">
        <f t="shared" si="0"/>
        <v>54545454.545454539</v>
      </c>
      <c r="AE22" s="344">
        <f t="shared" si="0"/>
        <v>54545454.545454539</v>
      </c>
      <c r="AF22" s="348">
        <f t="shared" si="0"/>
        <v>54545454.545454539</v>
      </c>
      <c r="AG22" s="346">
        <f t="shared" si="0"/>
        <v>54545454.545454539</v>
      </c>
      <c r="AJ22" s="414"/>
      <c r="AK22" s="414"/>
      <c r="AL22" s="414"/>
      <c r="AM22" s="414"/>
      <c r="AN22" s="414"/>
    </row>
    <row r="23" spans="2:40" x14ac:dyDescent="0.3">
      <c r="B23" s="443" t="s">
        <v>134</v>
      </c>
      <c r="C23" s="424"/>
      <c r="D23" s="344"/>
      <c r="E23" s="344"/>
      <c r="F23" s="344"/>
      <c r="G23" s="344"/>
      <c r="H23" s="345"/>
      <c r="I23" s="344">
        <f>((I22*'ICO Overview'!$C$21*Dashboard!$B$19)+(Dashboard!$B$20*'ICO Overview'!$C$19*'ICO Model'!I22)+(Dashboard!$B$21*'ICO Overview'!$C$17*'ICO Model'!I22))</f>
        <v>15000000</v>
      </c>
      <c r="J23" s="344">
        <f>((J22*'ICO Overview'!$C$21*Dashboard!$B$19)+(Dashboard!$B$20*'ICO Overview'!$C$19*'ICO Model'!J22)+(Dashboard!$B$21*'ICO Overview'!$C$17*'ICO Model'!J22))</f>
        <v>15000000</v>
      </c>
      <c r="K23" s="344">
        <f>((K22*'ICO Overview'!$C$21*Dashboard!$B$19)+(Dashboard!$B$20*'ICO Overview'!$C$19*'ICO Model'!K22)+(Dashboard!$B$21*'ICO Overview'!$C$17*'ICO Model'!K22))</f>
        <v>15000000</v>
      </c>
      <c r="L23" s="344">
        <f>((L22*'ICO Overview'!$C$21*Dashboard!$B$19)+(Dashboard!$B$20*'ICO Overview'!$C$19*'ICO Model'!L22)+(Dashboard!$B$21*'ICO Overview'!$C$17*'ICO Model'!L22))</f>
        <v>15000000</v>
      </c>
      <c r="M23" s="346">
        <f>L23</f>
        <v>15000000</v>
      </c>
      <c r="N23" s="344">
        <f>((N22*'ICO Overview'!$C$21*Dashboard!$B$19)+(Dashboard!$B$20*'ICO Overview'!$C$19*'ICO Model'!N22)+(Dashboard!$B$21*'ICO Overview'!$C$17*'ICO Model'!N22))</f>
        <v>15000000</v>
      </c>
      <c r="O23" s="344">
        <f>((O22*'ICO Overview'!$C$21*Dashboard!$B$19)+(Dashboard!$B$20*'ICO Overview'!$C$19*'ICO Model'!O22)+(Dashboard!$B$21*'ICO Overview'!$C$17*'ICO Model'!O22))</f>
        <v>15000000</v>
      </c>
      <c r="P23" s="344">
        <f>((P22*'ICO Overview'!$C$21*Dashboard!$B$19)+(Dashboard!$B$20*'ICO Overview'!$C$19*'ICO Model'!P22)+(Dashboard!$B$21*'ICO Overview'!$C$17*'ICO Model'!P22))</f>
        <v>15000000</v>
      </c>
      <c r="Q23" s="344">
        <f>((Q22*'ICO Overview'!$C$21*Dashboard!$B$19)+(Dashboard!$B$20*'ICO Overview'!$C$19*'ICO Model'!Q22)+(Dashboard!$B$21*'ICO Overview'!$C$17*'ICO Model'!Q22))</f>
        <v>15000000</v>
      </c>
      <c r="R23" s="346">
        <f>Q23</f>
        <v>15000000</v>
      </c>
      <c r="S23" s="344">
        <f>((S22*'ICO Overview'!$C$21*Dashboard!$B$19)+(Dashboard!$B$20*'ICO Overview'!$C$19*'ICO Model'!S22)+(Dashboard!$B$21*'ICO Overview'!$C$17*'ICO Model'!S22))</f>
        <v>15000000</v>
      </c>
      <c r="T23" s="344">
        <f>((T22*'ICO Overview'!$C$21*Dashboard!$B$19)+(Dashboard!$B$20*'ICO Overview'!$C$19*'ICO Model'!T22)+(Dashboard!$B$21*'ICO Overview'!$C$17*'ICO Model'!T22))</f>
        <v>15000000</v>
      </c>
      <c r="U23" s="344">
        <f>((U22*'ICO Overview'!$C$21*Dashboard!$B$19)+(Dashboard!$B$20*'ICO Overview'!$C$19*'ICO Model'!U22)+(Dashboard!$B$21*'ICO Overview'!$C$17*'ICO Model'!U22))</f>
        <v>15000000</v>
      </c>
      <c r="V23" s="344">
        <f>((V22*'ICO Overview'!$C$21*Dashboard!$B$19)+(Dashboard!$B$20*'ICO Overview'!$C$19*'ICO Model'!V22)+(Dashboard!$B$21*'ICO Overview'!$C$17*'ICO Model'!V22))</f>
        <v>15000000</v>
      </c>
      <c r="W23" s="346">
        <f>V23</f>
        <v>15000000</v>
      </c>
      <c r="X23" s="344">
        <f>((X22*'ICO Overview'!$C$21*Dashboard!$B$19)+(Dashboard!$B$20*'ICO Overview'!$C$19*'ICO Model'!X22)+(Dashboard!$B$21*'ICO Overview'!$C$17*'ICO Model'!X22))</f>
        <v>15000000</v>
      </c>
      <c r="Y23" s="344">
        <f>((Y22*'ICO Overview'!$C$21*Dashboard!$B$19)+(Dashboard!$B$20*'ICO Overview'!$C$19*'ICO Model'!Y22)+(Dashboard!$B$21*'ICO Overview'!$C$17*'ICO Model'!Y22))</f>
        <v>15000000</v>
      </c>
      <c r="Z23" s="344">
        <f>((Z22*'ICO Overview'!$C$21*Dashboard!$B$19)+(Dashboard!$B$20*'ICO Overview'!$C$19*'ICO Model'!Z22)+(Dashboard!$B$21*'ICO Overview'!$C$17*'ICO Model'!Z22))</f>
        <v>15000000</v>
      </c>
      <c r="AA23" s="344">
        <f>((AA22*'ICO Overview'!$C$21*Dashboard!$B$19)+(Dashboard!$B$20*'ICO Overview'!$C$19*'ICO Model'!AA22)+(Dashboard!$B$21*'ICO Overview'!$C$17*'ICO Model'!AA22))</f>
        <v>15000000</v>
      </c>
      <c r="AB23" s="346">
        <f>AA23</f>
        <v>15000000</v>
      </c>
      <c r="AC23" s="344">
        <f>((AC22*'ICO Overview'!$C$21*Dashboard!$B$19)+(Dashboard!$B$20*'ICO Overview'!$C$19*'ICO Model'!AC22)+(Dashboard!$B$21*'ICO Overview'!$C$17*'ICO Model'!AC22))</f>
        <v>15000000</v>
      </c>
      <c r="AD23" s="344">
        <f>((AD22*'ICO Overview'!$C$21*Dashboard!$B$19)+(Dashboard!$B$20*'ICO Overview'!$C$19*'ICO Model'!AD22)+(Dashboard!$B$21*'ICO Overview'!$C$17*'ICO Model'!AD22))</f>
        <v>15000000</v>
      </c>
      <c r="AE23" s="344">
        <f>((AE22*'ICO Overview'!$C$21*Dashboard!$B$19)+(Dashboard!$B$20*'ICO Overview'!$C$19*'ICO Model'!AE22)+(Dashboard!$B$21*'ICO Overview'!$C$17*'ICO Model'!AE22))</f>
        <v>15000000</v>
      </c>
      <c r="AF23" s="344">
        <f>((AF22*'ICO Overview'!$C$21*Dashboard!$B$19)+(Dashboard!$B$20*'ICO Overview'!$C$19*'ICO Model'!AF22)+(Dashboard!$B$21*'ICO Overview'!$C$17*'ICO Model'!AF22))</f>
        <v>15000000</v>
      </c>
      <c r="AG23" s="346">
        <f>AF23</f>
        <v>15000000</v>
      </c>
      <c r="AH23" s="542"/>
      <c r="AI23" s="344"/>
      <c r="AJ23" s="326"/>
      <c r="AK23" s="414"/>
      <c r="AL23" s="414"/>
      <c r="AM23" s="414"/>
      <c r="AN23" s="414"/>
    </row>
    <row r="24" spans="2:40" x14ac:dyDescent="0.3">
      <c r="B24" s="594" t="s">
        <v>135</v>
      </c>
      <c r="C24" s="595"/>
      <c r="D24" s="344"/>
      <c r="E24" s="344"/>
      <c r="F24" s="344"/>
      <c r="G24" s="344"/>
      <c r="H24" s="345"/>
      <c r="I24" s="344">
        <f>I40+I58</f>
        <v>24367199.40902397</v>
      </c>
      <c r="J24" s="344">
        <f>J40+J58</f>
        <v>26898789.302214112</v>
      </c>
      <c r="K24" s="344">
        <f>K40+K58</f>
        <v>29400364.076522898</v>
      </c>
      <c r="L24" s="344">
        <f>L40+L58</f>
        <v>31715334.274098668</v>
      </c>
      <c r="M24" s="346">
        <f>M40+M58</f>
        <v>31715334.274098668</v>
      </c>
      <c r="N24" s="344">
        <f t="shared" ref="N24:R24" si="1">N40+N58</f>
        <v>34245473.036740966</v>
      </c>
      <c r="O24" s="344">
        <f t="shared" si="1"/>
        <v>37058569.516126871</v>
      </c>
      <c r="P24" s="344">
        <f t="shared" si="1"/>
        <v>39538197.191427507</v>
      </c>
      <c r="Q24" s="344">
        <f t="shared" si="1"/>
        <v>43532157.370773792</v>
      </c>
      <c r="R24" s="346">
        <f t="shared" si="1"/>
        <v>43532157.370773792</v>
      </c>
      <c r="S24" s="344">
        <f t="shared" ref="S24:W24" si="2">S40+S58</f>
        <v>45451265.835400626</v>
      </c>
      <c r="T24" s="344">
        <f t="shared" si="2"/>
        <v>47568885.486468956</v>
      </c>
      <c r="U24" s="344">
        <f t="shared" si="2"/>
        <v>49866200.841584802</v>
      </c>
      <c r="V24" s="344">
        <f t="shared" si="2"/>
        <v>52347140.271152899</v>
      </c>
      <c r="W24" s="346">
        <f t="shared" si="2"/>
        <v>52347140.271152899</v>
      </c>
      <c r="X24" s="344">
        <f t="shared" ref="X24:AB24" si="3">X40+X58</f>
        <v>56731869.747526035</v>
      </c>
      <c r="Y24" s="344">
        <f t="shared" si="3"/>
        <v>59543731.398893967</v>
      </c>
      <c r="Z24" s="344">
        <f t="shared" si="3"/>
        <v>62570074.801357858</v>
      </c>
      <c r="AA24" s="344">
        <f t="shared" si="3"/>
        <v>68235434.530027315</v>
      </c>
      <c r="AB24" s="346">
        <f t="shared" si="3"/>
        <v>68235434.530027315</v>
      </c>
      <c r="AC24" s="344">
        <f t="shared" ref="AC24:AF24" si="4">AC40+AC58</f>
        <v>72893399.519275561</v>
      </c>
      <c r="AD24" s="344">
        <f t="shared" si="4"/>
        <v>84456550.324985236</v>
      </c>
      <c r="AE24" s="344">
        <f t="shared" si="4"/>
        <v>92758978.056874514</v>
      </c>
      <c r="AF24" s="344">
        <f t="shared" si="4"/>
        <v>103227463.20756134</v>
      </c>
      <c r="AG24" s="346">
        <f>AG40+AG58</f>
        <v>103227463.20756134</v>
      </c>
      <c r="AH24" s="542"/>
      <c r="AI24" s="344"/>
      <c r="AJ24" s="555"/>
      <c r="AK24" s="414"/>
      <c r="AL24" s="554"/>
      <c r="AM24" s="415"/>
      <c r="AN24" s="415"/>
    </row>
    <row r="25" spans="2:40" x14ac:dyDescent="0.3">
      <c r="B25" s="594" t="s">
        <v>173</v>
      </c>
      <c r="C25" s="595"/>
      <c r="D25" s="344"/>
      <c r="E25" s="344"/>
      <c r="F25" s="344"/>
      <c r="G25" s="344"/>
      <c r="H25" s="345"/>
      <c r="I25" s="349">
        <f>I24/I23</f>
        <v>1.624479960601598</v>
      </c>
      <c r="J25" s="349">
        <f>J24/J23</f>
        <v>1.7932526201476076</v>
      </c>
      <c r="K25" s="349">
        <f>K24/K23</f>
        <v>1.9600242717681933</v>
      </c>
      <c r="L25" s="349">
        <f>L24/L23</f>
        <v>2.1143556182732444</v>
      </c>
      <c r="M25" s="350">
        <f>L25</f>
        <v>2.1143556182732444</v>
      </c>
      <c r="N25" s="349">
        <f>N24/N23</f>
        <v>2.2830315357827309</v>
      </c>
      <c r="O25" s="349">
        <f>O24/O23</f>
        <v>2.4705713010751249</v>
      </c>
      <c r="P25" s="349">
        <f>P24/P23</f>
        <v>2.6358798127618339</v>
      </c>
      <c r="Q25" s="349">
        <f>Q24/Q23</f>
        <v>2.9021438247182529</v>
      </c>
      <c r="R25" s="350">
        <f>Q25</f>
        <v>2.9021438247182529</v>
      </c>
      <c r="S25" s="349">
        <f>S24/S23</f>
        <v>3.0300843890267086</v>
      </c>
      <c r="T25" s="349">
        <f>T24/T23</f>
        <v>3.1712590324312639</v>
      </c>
      <c r="U25" s="349">
        <f>U24/U23</f>
        <v>3.3244133894389867</v>
      </c>
      <c r="V25" s="349">
        <f>V24/V23</f>
        <v>3.4898093514101931</v>
      </c>
      <c r="W25" s="350">
        <f>V25</f>
        <v>3.4898093514101931</v>
      </c>
      <c r="X25" s="349">
        <f>X24/X23</f>
        <v>3.7821246498350689</v>
      </c>
      <c r="Y25" s="349">
        <f>Y24/Y23</f>
        <v>3.9695820932595978</v>
      </c>
      <c r="Z25" s="349">
        <f>Z24/Z23</f>
        <v>4.1713383200905243</v>
      </c>
      <c r="AA25" s="349">
        <f>AA24/AA23</f>
        <v>4.5490289686684875</v>
      </c>
      <c r="AB25" s="350">
        <f>AA25</f>
        <v>4.5490289686684875</v>
      </c>
      <c r="AC25" s="349">
        <f>AC24/AC23</f>
        <v>4.8595599679517036</v>
      </c>
      <c r="AD25" s="349">
        <f>AD24/AD23</f>
        <v>5.6304366883323489</v>
      </c>
      <c r="AE25" s="349">
        <f>AE24/AE23</f>
        <v>6.1839318704583013</v>
      </c>
      <c r="AF25" s="349">
        <f>AF24/AF23</f>
        <v>6.88183088050409</v>
      </c>
      <c r="AG25" s="350">
        <f>AF25</f>
        <v>6.88183088050409</v>
      </c>
      <c r="AH25" s="326"/>
      <c r="AI25" s="326"/>
      <c r="AJ25" s="326"/>
      <c r="AK25" s="351"/>
      <c r="AL25" s="351"/>
      <c r="AM25" s="351"/>
    </row>
    <row r="26" spans="2:40" x14ac:dyDescent="0.3">
      <c r="B26" s="630" t="s">
        <v>109</v>
      </c>
      <c r="C26" s="631"/>
      <c r="D26" s="352"/>
      <c r="E26" s="352"/>
      <c r="F26" s="352"/>
      <c r="G26" s="353">
        <v>1</v>
      </c>
      <c r="H26" s="413">
        <v>1</v>
      </c>
      <c r="I26" s="353">
        <f>$H$26*I25</f>
        <v>1.624479960601598</v>
      </c>
      <c r="J26" s="353">
        <f>$H$26*J25</f>
        <v>1.7932526201476076</v>
      </c>
      <c r="K26" s="353">
        <f t="shared" ref="K26:L26" si="5">$H$26*K25</f>
        <v>1.9600242717681933</v>
      </c>
      <c r="L26" s="353">
        <f t="shared" si="5"/>
        <v>2.1143556182732444</v>
      </c>
      <c r="M26" s="354">
        <f>L26</f>
        <v>2.1143556182732444</v>
      </c>
      <c r="N26" s="353">
        <f>$H$26*N25</f>
        <v>2.2830315357827309</v>
      </c>
      <c r="O26" s="353">
        <f>$H$26*O25</f>
        <v>2.4705713010751249</v>
      </c>
      <c r="P26" s="353">
        <f t="shared" ref="P26" si="6">$H$26*P25</f>
        <v>2.6358798127618339</v>
      </c>
      <c r="Q26" s="353">
        <f t="shared" ref="Q26" si="7">$H$26*Q25</f>
        <v>2.9021438247182529</v>
      </c>
      <c r="R26" s="354">
        <f>Q26</f>
        <v>2.9021438247182529</v>
      </c>
      <c r="S26" s="353">
        <f>$H$26*S25</f>
        <v>3.0300843890267086</v>
      </c>
      <c r="T26" s="353">
        <f>$H$26*T25</f>
        <v>3.1712590324312639</v>
      </c>
      <c r="U26" s="353">
        <f t="shared" ref="U26" si="8">$H$26*U25</f>
        <v>3.3244133894389867</v>
      </c>
      <c r="V26" s="353">
        <f t="shared" ref="V26" si="9">$H$26*V25</f>
        <v>3.4898093514101931</v>
      </c>
      <c r="W26" s="354">
        <f>V26</f>
        <v>3.4898093514101931</v>
      </c>
      <c r="X26" s="353">
        <f>$H$26*X25</f>
        <v>3.7821246498350689</v>
      </c>
      <c r="Y26" s="353">
        <f>$H$26*Y25</f>
        <v>3.9695820932595978</v>
      </c>
      <c r="Z26" s="353">
        <f t="shared" ref="Z26" si="10">$H$26*Z25</f>
        <v>4.1713383200905243</v>
      </c>
      <c r="AA26" s="353">
        <f t="shared" ref="AA26" si="11">$H$26*AA25</f>
        <v>4.5490289686684875</v>
      </c>
      <c r="AB26" s="354">
        <f>AA26</f>
        <v>4.5490289686684875</v>
      </c>
      <c r="AC26" s="353">
        <f>$H$26*AC25</f>
        <v>4.8595599679517036</v>
      </c>
      <c r="AD26" s="353">
        <f>$H$26*AD25</f>
        <v>5.6304366883323489</v>
      </c>
      <c r="AE26" s="353">
        <f t="shared" ref="AE26" si="12">$H$26*AE25</f>
        <v>6.1839318704583013</v>
      </c>
      <c r="AF26" s="353">
        <f t="shared" ref="AF26" si="13">$H$26*AF25</f>
        <v>6.88183088050409</v>
      </c>
      <c r="AG26" s="354">
        <f>AF26</f>
        <v>6.88183088050409</v>
      </c>
      <c r="AJ26" s="339"/>
      <c r="AK26" s="339"/>
      <c r="AL26" s="339"/>
      <c r="AM26" s="339"/>
    </row>
    <row r="27" spans="2:40" x14ac:dyDescent="0.3">
      <c r="B27" s="444"/>
      <c r="C27" s="444"/>
      <c r="D27" s="445"/>
      <c r="E27" s="445"/>
      <c r="F27" s="445"/>
      <c r="G27" s="446"/>
      <c r="H27" s="447"/>
      <c r="I27" s="448">
        <f>I26/I21</f>
        <v>142.25488741307703</v>
      </c>
      <c r="J27" s="448">
        <f>J26/J21</f>
        <v>124.69222265506595</v>
      </c>
      <c r="K27" s="448">
        <f>K26/K21</f>
        <v>119.9690866506626</v>
      </c>
      <c r="L27" s="448">
        <f>L26/L21</f>
        <v>117.9773701013084</v>
      </c>
      <c r="M27" s="448">
        <f>L27</f>
        <v>117.9773701013084</v>
      </c>
      <c r="N27" s="448">
        <f>N26/N21</f>
        <v>118.21437273675244</v>
      </c>
      <c r="O27" s="448">
        <f>O26/O21</f>
        <v>119.090167497251</v>
      </c>
      <c r="P27" s="448">
        <f>P26/P21</f>
        <v>120.05362592024193</v>
      </c>
      <c r="Q27" s="448">
        <f>Q26/Q21</f>
        <v>115.68821121227494</v>
      </c>
      <c r="R27" s="448">
        <f>Q27</f>
        <v>115.68821121227494</v>
      </c>
      <c r="S27" s="448">
        <f>S26/S21</f>
        <v>118.17871246267995</v>
      </c>
      <c r="T27" s="448">
        <f>T26/T21</f>
        <v>120.87519338505916</v>
      </c>
      <c r="U27" s="448">
        <f>U26/U21</f>
        <v>122.37932840453189</v>
      </c>
      <c r="V27" s="448">
        <f>V26/V21</f>
        <v>122.97111273531695</v>
      </c>
      <c r="W27" s="448">
        <f>V27</f>
        <v>122.97111273531695</v>
      </c>
      <c r="X27" s="448">
        <f>X26/X21</f>
        <v>116.28090730778119</v>
      </c>
      <c r="Y27" s="448">
        <f>Y26/Y21</f>
        <v>116.17924678439756</v>
      </c>
      <c r="Z27" s="448">
        <f>Z26/Z21</f>
        <v>115.58424146577197</v>
      </c>
      <c r="AA27" s="448">
        <f>AA26/AA21</f>
        <v>106.02536590698182</v>
      </c>
      <c r="AB27" s="448">
        <f>AA27</f>
        <v>106.02536590698182</v>
      </c>
      <c r="AC27" s="448">
        <f>AC26/AC21</f>
        <v>101.3464520658584</v>
      </c>
      <c r="AD27" s="448">
        <f>AD26/AD21</f>
        <v>80.901052702118093</v>
      </c>
      <c r="AE27" s="448">
        <f>AE26/AE21</f>
        <v>72.376683302684526</v>
      </c>
      <c r="AF27" s="448">
        <f>AF26/AF21</f>
        <v>62.920048988601472</v>
      </c>
      <c r="AG27" s="448">
        <f>AF27</f>
        <v>62.920048988601472</v>
      </c>
      <c r="AJ27" s="339"/>
      <c r="AK27" s="339"/>
      <c r="AL27" s="339"/>
      <c r="AM27" s="339"/>
    </row>
    <row r="28" spans="2:40" x14ac:dyDescent="0.3">
      <c r="C28" s="336"/>
      <c r="D28" s="337"/>
      <c r="E28" s="337"/>
      <c r="F28" s="337"/>
      <c r="G28" s="337"/>
      <c r="H28" s="337"/>
      <c r="I28" s="337"/>
      <c r="J28" s="337"/>
      <c r="K28" s="337"/>
      <c r="L28" s="337"/>
      <c r="M28" s="337"/>
      <c r="N28" s="337"/>
      <c r="O28" s="337"/>
      <c r="P28" s="337"/>
      <c r="Q28" s="337"/>
      <c r="R28" s="338"/>
      <c r="S28" s="337"/>
      <c r="T28" s="337"/>
      <c r="U28" s="337"/>
      <c r="V28" s="337"/>
      <c r="W28" s="338"/>
      <c r="X28" s="337"/>
      <c r="Y28" s="337"/>
      <c r="Z28" s="337"/>
      <c r="AA28" s="337"/>
      <c r="AB28" s="338"/>
      <c r="AC28" s="337"/>
      <c r="AD28" s="337"/>
      <c r="AE28" s="337"/>
      <c r="AF28" s="337"/>
      <c r="AG28" s="338"/>
      <c r="AJ28" s="326"/>
      <c r="AK28" s="326"/>
      <c r="AL28" s="326"/>
      <c r="AM28" s="326"/>
    </row>
    <row r="29" spans="2:40" ht="18.75" customHeight="1" x14ac:dyDescent="0.4">
      <c r="B29" s="598" t="s">
        <v>86</v>
      </c>
      <c r="C29" s="599"/>
      <c r="D29" s="599"/>
      <c r="E29" s="599"/>
      <c r="F29" s="599"/>
      <c r="G29" s="599"/>
      <c r="H29" s="599"/>
      <c r="I29" s="599"/>
      <c r="J29" s="599"/>
      <c r="K29" s="599"/>
      <c r="L29" s="599"/>
      <c r="M29" s="599"/>
      <c r="N29" s="599"/>
      <c r="O29" s="599"/>
      <c r="P29" s="599"/>
      <c r="Q29" s="599"/>
      <c r="R29" s="599"/>
      <c r="S29" s="599"/>
      <c r="T29" s="599"/>
      <c r="U29" s="599"/>
      <c r="V29" s="599"/>
      <c r="W29" s="599"/>
      <c r="X29" s="599"/>
      <c r="Y29" s="599"/>
      <c r="Z29" s="599"/>
      <c r="AA29" s="599"/>
      <c r="AB29" s="599"/>
      <c r="AC29" s="599"/>
      <c r="AD29" s="599"/>
      <c r="AE29" s="599"/>
      <c r="AF29" s="599"/>
      <c r="AG29" s="601"/>
    </row>
    <row r="30" spans="2:40" ht="4.5" customHeight="1" x14ac:dyDescent="0.4">
      <c r="B30" s="340"/>
      <c r="C30" s="340"/>
      <c r="D30" s="340"/>
      <c r="E30" s="340"/>
      <c r="F30" s="340"/>
      <c r="G30" s="340"/>
      <c r="H30" s="340"/>
      <c r="I30" s="340"/>
      <c r="J30" s="340"/>
      <c r="K30" s="340"/>
      <c r="L30" s="340"/>
      <c r="M30" s="340"/>
      <c r="N30" s="340"/>
      <c r="O30" s="340"/>
      <c r="P30" s="340"/>
      <c r="Q30" s="340"/>
      <c r="R30" s="340"/>
      <c r="S30" s="340"/>
      <c r="T30" s="340"/>
      <c r="U30" s="340"/>
      <c r="V30" s="340"/>
      <c r="W30" s="340"/>
      <c r="X30" s="340"/>
      <c r="Y30" s="340"/>
      <c r="Z30" s="340"/>
      <c r="AA30" s="340"/>
      <c r="AB30" s="340"/>
      <c r="AC30" s="340"/>
      <c r="AD30" s="340"/>
      <c r="AE30" s="340"/>
      <c r="AF30" s="340"/>
      <c r="AG30" s="340"/>
    </row>
    <row r="31" spans="2:40" x14ac:dyDescent="0.3">
      <c r="B31" s="612" t="s">
        <v>101</v>
      </c>
      <c r="C31" s="632"/>
      <c r="D31" s="355">
        <f>INDEX('User Data SwipeStox'!$A$1:$OS$9988,MATCH($B31,'User Data SwipeStox'!$A:$A,0),MATCH(D$15,'User Data SwipeStox'!$4:$4,0))</f>
        <v>6137</v>
      </c>
      <c r="E31" s="355">
        <f>INDEX('User Data SwipeStox'!$A$1:$OS$9988,MATCH($B31,'User Data SwipeStox'!$A:$A,0),MATCH(E$15,'User Data SwipeStox'!$4:$4,0))</f>
        <v>4716</v>
      </c>
      <c r="F31" s="355">
        <f>INDEX('User Data SwipeStox'!$A$1:$OS$9988,MATCH($B31,'User Data SwipeStox'!$A:$A,0),MATCH(F$15,'User Data SwipeStox'!$4:$4,0))</f>
        <v>1678</v>
      </c>
      <c r="G31" s="355">
        <f>INDEX('User Data SwipeStox'!$A$1:$OS$9988,MATCH($B31,'User Data SwipeStox'!$A:$A,0),MATCH(G$15,'User Data SwipeStox'!$4:$4,0))</f>
        <v>1800</v>
      </c>
      <c r="H31" s="356">
        <f>SUM(D31:G31)</f>
        <v>14331</v>
      </c>
      <c r="I31" s="355">
        <f>INDEX('User Data SwipeStox'!$A$1:$OS$9988,MATCH($B31,'User Data SwipeStox'!$A:$A,0),MATCH(I$15,'User Data SwipeStox'!$4:$4,0))</f>
        <v>7571.666666666667</v>
      </c>
      <c r="J31" s="355">
        <f>INDEX('User Data SwipeStox'!$A$1:$OS$9988,MATCH($B31,'User Data SwipeStox'!$A:$A,0),MATCH(J$15,'User Data SwipeStox'!$4:$4,0))</f>
        <v>5969.666666666667</v>
      </c>
      <c r="K31" s="355">
        <f>INDEX('User Data SwipeStox'!$A$1:$OS$9988,MATCH($B31,'User Data SwipeStox'!$A:$A,0),MATCH(K$15,'User Data SwipeStox'!$4:$4,0))</f>
        <v>6187.4666666666672</v>
      </c>
      <c r="L31" s="355">
        <f>INDEX('User Data SwipeStox'!$A$1:$OS$9988,MATCH($B31,'User Data SwipeStox'!$A:$A,0),MATCH(L$15,'User Data SwipeStox'!$4:$4,0))</f>
        <v>6427.0466666666671</v>
      </c>
      <c r="M31" s="356">
        <f>SUM(I31:L31)</f>
        <v>26155.846666666672</v>
      </c>
      <c r="N31" s="355">
        <f>INDEX('User Data SwipeStox'!$A$1:$OS$9988,MATCH($B31,'User Data SwipeStox'!$A:$A,0),MATCH(N$15,'User Data SwipeStox'!$4:$4,0))</f>
        <v>5773.9180000000015</v>
      </c>
      <c r="O31" s="355">
        <f>INDEX('User Data SwipeStox'!$A$1:$OS$9988,MATCH($B31,'User Data SwipeStox'!$A:$A,0),MATCH(O$15,'User Data SwipeStox'!$4:$4,0))</f>
        <v>6063.8098000000009</v>
      </c>
      <c r="P31" s="355">
        <f>INDEX('User Data SwipeStox'!$A$1:$OS$9988,MATCH($B31,'User Data SwipeStox'!$A:$A,0),MATCH(P$15,'User Data SwipeStox'!$4:$4,0))</f>
        <v>6382.6907800000026</v>
      </c>
      <c r="Q31" s="355">
        <f>INDEX('User Data SwipeStox'!$A$1:$OS$9988,MATCH($B31,'User Data SwipeStox'!$A:$A,0),MATCH(Q$15,'User Data SwipeStox'!$4:$4,0))</f>
        <v>6733.459858000002</v>
      </c>
      <c r="R31" s="356">
        <f>SUM(N31:Q31)</f>
        <v>24953.878438000007</v>
      </c>
      <c r="S31" s="355">
        <f>INDEX('User Data SwipeStox'!$A$1:$OS$9988,MATCH($B31,'User Data SwipeStox'!$A:$A,0),MATCH(S$15,'User Data SwipeStox'!$4:$4,0))</f>
        <v>6306.8058438000025</v>
      </c>
      <c r="T31" s="355">
        <f>INDEX('User Data SwipeStox'!$A$1:$OS$9988,MATCH($B31,'User Data SwipeStox'!$A:$A,0),MATCH(T$15,'User Data SwipeStox'!$4:$4,0))</f>
        <v>6731.2364281800037</v>
      </c>
      <c r="U31" s="355">
        <f>INDEX('User Data SwipeStox'!$A$1:$OS$9988,MATCH($B31,'User Data SwipeStox'!$A:$A,0),MATCH(U$15,'User Data SwipeStox'!$4:$4,0))</f>
        <v>7198.1100709980055</v>
      </c>
      <c r="V31" s="355">
        <f>INDEX('User Data SwipeStox'!$A$1:$OS$9988,MATCH($B31,'User Data SwipeStox'!$A:$A,0),MATCH(V$15,'User Data SwipeStox'!$4:$4,0))</f>
        <v>7711.6710780978046</v>
      </c>
      <c r="W31" s="356">
        <f>SUM(S31:V31)</f>
        <v>27947.823421075816</v>
      </c>
      <c r="X31" s="355">
        <f>INDEX('User Data SwipeStox'!$A$1:$OS$9988,MATCH($B31,'User Data SwipeStox'!$A:$A,0),MATCH(X$15,'User Data SwipeStox'!$4:$4,0))</f>
        <v>7984.9215192409183</v>
      </c>
      <c r="Y31" s="355">
        <f>INDEX('User Data SwipeStox'!$A$1:$OS$9988,MATCH($B31,'User Data SwipeStox'!$A:$A,0),MATCH(Y$15,'User Data SwipeStox'!$4:$4,0))</f>
        <v>8606.3303378316778</v>
      </c>
      <c r="Z31" s="355">
        <f>INDEX('User Data SwipeStox'!$A$1:$OS$9988,MATCH($B31,'User Data SwipeStox'!$A:$A,0),MATCH(Z$15,'User Data SwipeStox'!$4:$4,0))</f>
        <v>9289.8800382815134</v>
      </c>
      <c r="AA31" s="355">
        <f>INDEX('User Data SwipeStox'!$A$1:$OS$9988,MATCH($B31,'User Data SwipeStox'!$A:$A,0),MATCH(AA$15,'User Data SwipeStox'!$4:$4,0))</f>
        <v>10041.784708776331</v>
      </c>
      <c r="AB31" s="356">
        <f>SUM(X31:AA31)</f>
        <v>35922.916604130442</v>
      </c>
      <c r="AC31" s="357">
        <f>INDEX('User Data SwipeStox'!$A$1:$OS$9988,MATCH($B31,'User Data SwipeStox'!$A:$A,0),MATCH(AC$15,'User Data SwipeStox'!$4:$4,0))</f>
        <v>10764.713179653963</v>
      </c>
      <c r="AD31" s="355">
        <f>INDEX('User Data SwipeStox'!$A$1:$OS$9988,MATCH($B31,'User Data SwipeStox'!$A:$A,0),MATCH(AD$15,'User Data SwipeStox'!$4:$4,0))</f>
        <v>11674.517830952695</v>
      </c>
      <c r="AE31" s="355">
        <f>INDEX('User Data SwipeStox'!$A$1:$OS$9988,MATCH($B31,'User Data SwipeStox'!$A:$A,0),MATCH(AE$15,'User Data SwipeStox'!$4:$4,0))</f>
        <v>12675.3029473813</v>
      </c>
      <c r="AF31" s="355">
        <f>INDEX('User Data SwipeStox'!$A$1:$OS$9988,MATCH($B31,'User Data SwipeStox'!$A:$A,0),MATCH(AF$15,'User Data SwipeStox'!$4:$4,0))</f>
        <v>13776.166575452762</v>
      </c>
      <c r="AG31" s="356">
        <f>SUM(AC31:AF31)</f>
        <v>48890.700533440722</v>
      </c>
      <c r="AJ31" s="18"/>
    </row>
    <row r="32" spans="2:40" x14ac:dyDescent="0.3">
      <c r="B32" s="594" t="s">
        <v>100</v>
      </c>
      <c r="C32" s="617"/>
      <c r="D32" s="344">
        <f>INDEX('User Data SwipeStox'!$A$1:$OS$9988,MATCH($B32,'User Data SwipeStox'!$A:$A,0),MATCH(D$15,'User Data SwipeStox'!$4:$4,0))</f>
        <v>13141</v>
      </c>
      <c r="E32" s="344">
        <f>INDEX('User Data SwipeStox'!$A$1:$OS$9988,MATCH($B32,'User Data SwipeStox'!$A:$A,0),MATCH(E$15,'User Data SwipeStox'!$4:$4,0))</f>
        <v>17857</v>
      </c>
      <c r="F32" s="344">
        <f>INDEX('User Data SwipeStox'!$A$1:$OS$9988,MATCH($B32,'User Data SwipeStox'!$A:$A,0),MATCH(F$15,'User Data SwipeStox'!$4:$4,0))</f>
        <v>19535</v>
      </c>
      <c r="G32" s="344">
        <f>INDEX('User Data SwipeStox'!$A$1:$OS$9988,MATCH($B32,'User Data SwipeStox'!$A:$A,0),MATCH(G$15,'User Data SwipeStox'!$4:$4,0))</f>
        <v>19657</v>
      </c>
      <c r="H32" s="346">
        <f>G32</f>
        <v>19657</v>
      </c>
      <c r="I32" s="344">
        <f>INDEX('User Data SwipeStox'!$A$1:$OS$9988,MATCH($B32,'User Data SwipeStox'!$A:$A,0),MATCH(I$15,'User Data SwipeStox'!$4:$4,0))</f>
        <v>27228.666666666668</v>
      </c>
      <c r="J32" s="344">
        <f>INDEX('User Data SwipeStox'!$A$1:$OS$9988,MATCH($B32,'User Data SwipeStox'!$A:$A,0),MATCH(J$15,'User Data SwipeStox'!$4:$4,0))</f>
        <v>33198.333333333336</v>
      </c>
      <c r="K32" s="344">
        <f>INDEX('User Data SwipeStox'!$A$1:$OS$9988,MATCH($B32,'User Data SwipeStox'!$A:$A,0),MATCH(K$15,'User Data SwipeStox'!$4:$4,0))</f>
        <v>39385.800000000003</v>
      </c>
      <c r="L32" s="344">
        <f>INDEX('User Data SwipeStox'!$A$1:$OS$9988,MATCH($B32,'User Data SwipeStox'!$A:$A,0),MATCH(L$15,'User Data SwipeStox'!$4:$4,0))</f>
        <v>45812.846666666672</v>
      </c>
      <c r="M32" s="346">
        <f>L32</f>
        <v>45812.846666666672</v>
      </c>
      <c r="N32" s="344">
        <f>INDEX('User Data SwipeStox'!$A$1:$OS$9988,MATCH($B32,'User Data SwipeStox'!$A:$A,0),MATCH(N$15,'User Data SwipeStox'!$4:$4,0))</f>
        <v>51586.76466666667</v>
      </c>
      <c r="O32" s="344">
        <f>INDEX('User Data SwipeStox'!$A$1:$OS$9988,MATCH($B32,'User Data SwipeStox'!$A:$A,0),MATCH(O$15,'User Data SwipeStox'!$4:$4,0))</f>
        <v>57650.574466666672</v>
      </c>
      <c r="P32" s="344">
        <f>INDEX('User Data SwipeStox'!$A$1:$OS$9988,MATCH($B32,'User Data SwipeStox'!$A:$A,0),MATCH(P$15,'User Data SwipeStox'!$4:$4,0))</f>
        <v>64033.265246666677</v>
      </c>
      <c r="Q32" s="344">
        <f>INDEX('User Data SwipeStox'!$A$1:$OS$9988,MATCH($B32,'User Data SwipeStox'!$A:$A,0),MATCH(Q$15,'User Data SwipeStox'!$4:$4,0))</f>
        <v>70766.725104666679</v>
      </c>
      <c r="R32" s="346">
        <f>Q32</f>
        <v>70766.725104666679</v>
      </c>
      <c r="S32" s="344">
        <f>INDEX('User Data SwipeStox'!$A$1:$OS$9988,MATCH($B32,'User Data SwipeStox'!$A:$A,0),MATCH(S$15,'User Data SwipeStox'!$4:$4,0))</f>
        <v>77073.53094846668</v>
      </c>
      <c r="T32" s="344">
        <f>INDEX('User Data SwipeStox'!$A$1:$OS$9988,MATCH($B32,'User Data SwipeStox'!$A:$A,0),MATCH(T$15,'User Data SwipeStox'!$4:$4,0))</f>
        <v>83804.767376646691</v>
      </c>
      <c r="U32" s="344">
        <f>INDEX('User Data SwipeStox'!$A$1:$OS$9988,MATCH($B32,'User Data SwipeStox'!$A:$A,0),MATCH(U$15,'User Data SwipeStox'!$4:$4,0))</f>
        <v>91002.8774476447</v>
      </c>
      <c r="V32" s="344">
        <f>INDEX('User Data SwipeStox'!$A$1:$OS$9988,MATCH($B32,'User Data SwipeStox'!$A:$A,0),MATCH(V$15,'User Data SwipeStox'!$4:$4,0))</f>
        <v>98714.548525742503</v>
      </c>
      <c r="W32" s="346">
        <f>V32</f>
        <v>98714.548525742503</v>
      </c>
      <c r="X32" s="344">
        <f>INDEX('User Data SwipeStox'!$A$1:$OS$9988,MATCH($B32,'User Data SwipeStox'!$A:$A,0),MATCH(X$15,'User Data SwipeStox'!$4:$4,0))</f>
        <v>106699.47004498342</v>
      </c>
      <c r="Y32" s="344">
        <f>INDEX('User Data SwipeStox'!$A$1:$OS$9988,MATCH($B32,'User Data SwipeStox'!$A:$A,0),MATCH(Y$15,'User Data SwipeStox'!$4:$4,0))</f>
        <v>115305.8003828151</v>
      </c>
      <c r="Z32" s="344">
        <f>INDEX('User Data SwipeStox'!$A$1:$OS$9988,MATCH($B32,'User Data SwipeStox'!$A:$A,0),MATCH(Z$15,'User Data SwipeStox'!$4:$4,0))</f>
        <v>124595.68042109661</v>
      </c>
      <c r="AA32" s="344">
        <f>INDEX('User Data SwipeStox'!$A$1:$OS$9988,MATCH($B32,'User Data SwipeStox'!$A:$A,0),MATCH(AA$15,'User Data SwipeStox'!$4:$4,0))</f>
        <v>134637.46512987293</v>
      </c>
      <c r="AB32" s="346">
        <f>AA32</f>
        <v>134637.46512987293</v>
      </c>
      <c r="AC32" s="347">
        <f>INDEX('User Data SwipeStox'!$A$1:$OS$9988,MATCH($B32,'User Data SwipeStox'!$A:$A,0),MATCH(AC$15,'User Data SwipeStox'!$4:$4,0))</f>
        <v>145402.17830952691</v>
      </c>
      <c r="AD32" s="344">
        <f>INDEX('User Data SwipeStox'!$A$1:$OS$9988,MATCH($B32,'User Data SwipeStox'!$A:$A,0),MATCH(AD$15,'User Data SwipeStox'!$4:$4,0))</f>
        <v>157076.69614047959</v>
      </c>
      <c r="AE32" s="344">
        <f>INDEX('User Data SwipeStox'!$A$1:$OS$9988,MATCH($B32,'User Data SwipeStox'!$A:$A,0),MATCH(AE$15,'User Data SwipeStox'!$4:$4,0))</f>
        <v>169751.9990878609</v>
      </c>
      <c r="AF32" s="344">
        <f>INDEX('User Data SwipeStox'!$A$1:$OS$9988,MATCH($B32,'User Data SwipeStox'!$A:$A,0),MATCH(AF$15,'User Data SwipeStox'!$4:$4,0))</f>
        <v>183528.16566331364</v>
      </c>
      <c r="AG32" s="346">
        <f>AF32</f>
        <v>183528.16566331364</v>
      </c>
      <c r="AH32" s="358"/>
      <c r="AI32" s="358"/>
      <c r="AJ32" s="358"/>
    </row>
    <row r="33" spans="2:39" x14ac:dyDescent="0.3">
      <c r="B33" s="605" t="s">
        <v>99</v>
      </c>
      <c r="C33" s="620" t="s">
        <v>99</v>
      </c>
      <c r="D33" s="344">
        <f>INDEX('User Data SwipeStox'!$A$1:$OS$9988,MATCH($C33,'User Data SwipeStox'!$A:$A,0),MATCH(D$15,'User Data SwipeStox'!$4:$4,0))</f>
        <v>1558</v>
      </c>
      <c r="E33" s="344">
        <f>INDEX('User Data SwipeStox'!$A$1:$OS$9988,MATCH($B33,'User Data SwipeStox'!$A:$A,0),MATCH(E$15,'User Data SwipeStox'!$4:$4,0))</f>
        <v>1173</v>
      </c>
      <c r="F33" s="344">
        <f>INDEX('User Data SwipeStox'!$A$1:$OS$9988,MATCH($B33,'User Data SwipeStox'!$A:$A,0),MATCH(F$15,'User Data SwipeStox'!$4:$4,0))</f>
        <v>1678</v>
      </c>
      <c r="G33" s="344">
        <f>INDEX('User Data SwipeStox'!$A$1:$OS$9988,MATCH($B33,'User Data SwipeStox'!$A:$A,0),MATCH(G$15,'User Data SwipeStox'!$4:$4,0))</f>
        <v>540</v>
      </c>
      <c r="H33" s="346">
        <f>SUM(D33:G33)</f>
        <v>4949</v>
      </c>
      <c r="I33" s="344">
        <f>INDEX('User Data SwipeStox'!$A$1:$OS$9988,MATCH($C33,'User Data SwipeStox'!$A:$A,0),MATCH(I$15,'User Data SwipeStox'!$4:$4,0))</f>
        <v>2271.5</v>
      </c>
      <c r="J33" s="344">
        <f>INDEX('User Data SwipeStox'!$A$1:$OS$9988,MATCH($B33,'User Data SwipeStox'!$A:$A,0),MATCH(J$15,'User Data SwipeStox'!$4:$4,0))</f>
        <v>1790.9</v>
      </c>
      <c r="K33" s="344">
        <f>INDEX('User Data SwipeStox'!$A$1:$OS$9988,MATCH($B33,'User Data SwipeStox'!$A:$A,0),MATCH(K$15,'User Data SwipeStox'!$4:$4,0))</f>
        <v>1856.24</v>
      </c>
      <c r="L33" s="344">
        <f>INDEX('User Data SwipeStox'!$A$1:$OS$9988,MATCH($B33,'User Data SwipeStox'!$A:$A,0),MATCH(L$15,'User Data SwipeStox'!$4:$4,0))</f>
        <v>1928.114</v>
      </c>
      <c r="M33" s="346">
        <f>SUM(I33:L33)</f>
        <v>7846.7540000000008</v>
      </c>
      <c r="N33" s="344">
        <f>INDEX('User Data SwipeStox'!$A$1:$OS$9988,MATCH($C33,'User Data SwipeStox'!$A:$A,0),MATCH(N$15,'User Data SwipeStox'!$4:$4,0))</f>
        <v>1732.1754000000003</v>
      </c>
      <c r="O33" s="344">
        <f>INDEX('User Data SwipeStox'!$A$1:$OS$9988,MATCH($B33,'User Data SwipeStox'!$A:$A,0),MATCH(O$15,'User Data SwipeStox'!$4:$4,0))</f>
        <v>1819.1429400000002</v>
      </c>
      <c r="P33" s="344">
        <f>INDEX('User Data SwipeStox'!$A$1:$OS$9988,MATCH($B33,'User Data SwipeStox'!$A:$A,0),MATCH(P$15,'User Data SwipeStox'!$4:$4,0))</f>
        <v>1914.8072340000008</v>
      </c>
      <c r="Q33" s="344">
        <f>INDEX('User Data SwipeStox'!$A$1:$OS$9988,MATCH($B33,'User Data SwipeStox'!$A:$A,0),MATCH(Q$15,'User Data SwipeStox'!$4:$4,0))</f>
        <v>2020.0379574000006</v>
      </c>
      <c r="R33" s="346">
        <f>SUM(N33:Q33)</f>
        <v>7486.1635314000023</v>
      </c>
      <c r="S33" s="344">
        <f>INDEX('User Data SwipeStox'!$A$1:$OS$9988,MATCH($C33,'User Data SwipeStox'!$A:$A,0),MATCH(S$15,'User Data SwipeStox'!$4:$4,0))</f>
        <v>1892.0417531400008</v>
      </c>
      <c r="T33" s="344">
        <f>INDEX('User Data SwipeStox'!$A$1:$OS$9988,MATCH($B33,'User Data SwipeStox'!$A:$A,0),MATCH(T$15,'User Data SwipeStox'!$4:$4,0))</f>
        <v>2019.3709284540009</v>
      </c>
      <c r="U33" s="344">
        <f>INDEX('User Data SwipeStox'!$A$1:$OS$9988,MATCH($B33,'User Data SwipeStox'!$A:$A,0),MATCH(U$15,'User Data SwipeStox'!$4:$4,0))</f>
        <v>2159.4330212994014</v>
      </c>
      <c r="V33" s="344">
        <f>INDEX('User Data SwipeStox'!$A$1:$OS$9988,MATCH($B33,'User Data SwipeStox'!$A:$A,0),MATCH(V$15,'User Data SwipeStox'!$4:$4,0))</f>
        <v>2313.5013234293415</v>
      </c>
      <c r="W33" s="346">
        <f>SUM(S33:V33)</f>
        <v>8384.3470263227446</v>
      </c>
      <c r="X33" s="344">
        <f>INDEX('User Data SwipeStox'!$A$1:$OS$9988,MATCH($C33,'User Data SwipeStox'!$A:$A,0),MATCH(X$15,'User Data SwipeStox'!$4:$4,0))</f>
        <v>2395.4764557722756</v>
      </c>
      <c r="Y33" s="344">
        <f>INDEX('User Data SwipeStox'!$A$1:$OS$9988,MATCH($B33,'User Data SwipeStox'!$A:$A,0),MATCH(Y$15,'User Data SwipeStox'!$4:$4,0))</f>
        <v>2581.8991013495033</v>
      </c>
      <c r="Z33" s="344">
        <f>INDEX('User Data SwipeStox'!$A$1:$OS$9988,MATCH($B33,'User Data SwipeStox'!$A:$A,0),MATCH(Z$15,'User Data SwipeStox'!$4:$4,0))</f>
        <v>2786.9640114844537</v>
      </c>
      <c r="AA33" s="344">
        <f>INDEX('User Data SwipeStox'!$A$1:$OS$9988,MATCH($B33,'User Data SwipeStox'!$A:$A,0),MATCH(AA$15,'User Data SwipeStox'!$4:$4,0))</f>
        <v>3012.5354126328994</v>
      </c>
      <c r="AB33" s="346">
        <f>SUM(X33:AA33)</f>
        <v>10776.874981239132</v>
      </c>
      <c r="AC33" s="347">
        <f>INDEX('User Data SwipeStox'!$A$1:$OS$9988,MATCH($C33,'User Data SwipeStox'!$A:$A,0),MATCH(AC$15,'User Data SwipeStox'!$4:$4,0))</f>
        <v>3229.413953896189</v>
      </c>
      <c r="AD33" s="344">
        <f>INDEX('User Data SwipeStox'!$A$1:$OS$9988,MATCH($B33,'User Data SwipeStox'!$A:$A,0),MATCH(AD$15,'User Data SwipeStox'!$4:$4,0))</f>
        <v>3502.3553492858082</v>
      </c>
      <c r="AE33" s="344">
        <f>INDEX('User Data SwipeStox'!$A$1:$OS$9988,MATCH($B33,'User Data SwipeStox'!$A:$A,0),MATCH(AE$15,'User Data SwipeStox'!$4:$4,0))</f>
        <v>3802.5908842143899</v>
      </c>
      <c r="AF33" s="344">
        <f>INDEX('User Data SwipeStox'!$A$1:$OS$9988,MATCH($B33,'User Data SwipeStox'!$A:$A,0),MATCH(AF$15,'User Data SwipeStox'!$4:$4,0))</f>
        <v>4132.8499726358286</v>
      </c>
      <c r="AG33" s="346">
        <f>SUM(AC33:AF33)</f>
        <v>14667.210160032217</v>
      </c>
    </row>
    <row r="34" spans="2:39" x14ac:dyDescent="0.3">
      <c r="B34" s="594" t="s">
        <v>98</v>
      </c>
      <c r="C34" s="617" t="s">
        <v>98</v>
      </c>
      <c r="D34" s="344">
        <f>INDEX('User Data SwipeStox'!$A$1:$OS$9988,MATCH($B34,'User Data SwipeStox'!$A:$A,0),MATCH(D$15,'User Data SwipeStox'!$4:$4,0))</f>
        <v>5512</v>
      </c>
      <c r="E34" s="344">
        <f>INDEX('User Data SwipeStox'!$A$1:$OS$9988,MATCH($B34,'User Data SwipeStox'!$A:$A,0),MATCH(E$15,'User Data SwipeStox'!$4:$4,0))</f>
        <v>6685</v>
      </c>
      <c r="F34" s="344">
        <f>INDEX('User Data SwipeStox'!$A$1:$OS$9988,MATCH($B34,'User Data SwipeStox'!$A:$A,0),MATCH(F$15,'User Data SwipeStox'!$4:$4,0))</f>
        <v>8363</v>
      </c>
      <c r="G34" s="344">
        <f>INDEX('User Data SwipeStox'!$A$1:$OS$9988,MATCH($B34,'User Data SwipeStox'!$A:$A,0),MATCH(G$15,'User Data SwipeStox'!$4:$4,0))</f>
        <v>7045</v>
      </c>
      <c r="H34" s="346">
        <f>G34</f>
        <v>7045</v>
      </c>
      <c r="I34" s="344">
        <f>INDEX('User Data SwipeStox'!$A$1:$OS$9988,MATCH($B34,'User Data SwipeStox'!$A:$A,0),MATCH(I$15,'User Data SwipeStox'!$4:$4,0))</f>
        <v>9316.5</v>
      </c>
      <c r="J34" s="344">
        <f>INDEX('User Data SwipeStox'!$A$1:$OS$9988,MATCH($B34,'User Data SwipeStox'!$A:$A,0),MATCH(J$15,'User Data SwipeStox'!$4:$4,0))</f>
        <v>11107.4</v>
      </c>
      <c r="K34" s="344">
        <f>INDEX('User Data SwipeStox'!$A$1:$OS$9988,MATCH($B34,'User Data SwipeStox'!$A:$A,0),MATCH(K$15,'User Data SwipeStox'!$4:$4,0))</f>
        <v>12963.64</v>
      </c>
      <c r="L34" s="344">
        <f>INDEX('User Data SwipeStox'!$A$1:$OS$9988,MATCH($B34,'User Data SwipeStox'!$A:$A,0),MATCH(L$15,'User Data SwipeStox'!$4:$4,0))</f>
        <v>14891.753999999999</v>
      </c>
      <c r="M34" s="346">
        <f>L34</f>
        <v>14891.753999999999</v>
      </c>
      <c r="N34" s="344">
        <f>INDEX('User Data SwipeStox'!$A$1:$OS$9988,MATCH($B34,'User Data SwipeStox'!$A:$A,0),MATCH(N$15,'User Data SwipeStox'!$4:$4,0))</f>
        <v>16623.929400000001</v>
      </c>
      <c r="O34" s="344">
        <f>INDEX('User Data SwipeStox'!$A$1:$OS$9988,MATCH($B34,'User Data SwipeStox'!$A:$A,0),MATCH(O$15,'User Data SwipeStox'!$4:$4,0))</f>
        <v>18443.072340000002</v>
      </c>
      <c r="P34" s="344">
        <f>INDEX('User Data SwipeStox'!$A$1:$OS$9988,MATCH($B34,'User Data SwipeStox'!$A:$A,0),MATCH(P$15,'User Data SwipeStox'!$4:$4,0))</f>
        <v>20357.879574000002</v>
      </c>
      <c r="Q34" s="344">
        <f>INDEX('User Data SwipeStox'!$A$1:$OS$9988,MATCH($B34,'User Data SwipeStox'!$A:$A,0),MATCH(Q$15,'User Data SwipeStox'!$4:$4,0))</f>
        <v>22377.917531400002</v>
      </c>
      <c r="R34" s="346">
        <f>Q34</f>
        <v>22377.917531400002</v>
      </c>
      <c r="S34" s="344">
        <f>INDEX('User Data SwipeStox'!$A$1:$OS$9988,MATCH($B34,'User Data SwipeStox'!$A:$A,0),MATCH(S$15,'User Data SwipeStox'!$4:$4,0))</f>
        <v>24269.959284540004</v>
      </c>
      <c r="T34" s="344">
        <f>INDEX('User Data SwipeStox'!$A$1:$OS$9988,MATCH($B34,'User Data SwipeStox'!$A:$A,0),MATCH(T$15,'User Data SwipeStox'!$4:$4,0))</f>
        <v>26289.330212994006</v>
      </c>
      <c r="U34" s="344">
        <f>INDEX('User Data SwipeStox'!$A$1:$OS$9988,MATCH($B34,'User Data SwipeStox'!$A:$A,0),MATCH(U$15,'User Data SwipeStox'!$4:$4,0))</f>
        <v>28448.763234293408</v>
      </c>
      <c r="V34" s="344">
        <f>INDEX('User Data SwipeStox'!$A$1:$OS$9988,MATCH($B34,'User Data SwipeStox'!$A:$A,0),MATCH(V$15,'User Data SwipeStox'!$4:$4,0))</f>
        <v>30762.264557722749</v>
      </c>
      <c r="W34" s="346">
        <f>V34</f>
        <v>30762.264557722749</v>
      </c>
      <c r="X34" s="344">
        <f>INDEX('User Data SwipeStox'!$A$1:$OS$9988,MATCH($B34,'User Data SwipeStox'!$A:$A,0),MATCH(X$15,'User Data SwipeStox'!$4:$4,0))</f>
        <v>33157.741013495026</v>
      </c>
      <c r="Y34" s="344">
        <f>INDEX('User Data SwipeStox'!$A$1:$OS$9988,MATCH($B34,'User Data SwipeStox'!$A:$A,0),MATCH(Y$15,'User Data SwipeStox'!$4:$4,0))</f>
        <v>35739.640114844529</v>
      </c>
      <c r="Z34" s="344">
        <f>INDEX('User Data SwipeStox'!$A$1:$OS$9988,MATCH($B34,'User Data SwipeStox'!$A:$A,0),MATCH(Z$15,'User Data SwipeStox'!$4:$4,0))</f>
        <v>38526.604126328981</v>
      </c>
      <c r="AA34" s="344">
        <f>INDEX('User Data SwipeStox'!$A$1:$OS$9988,MATCH($B34,'User Data SwipeStox'!$A:$A,0),MATCH(AA$15,'User Data SwipeStox'!$4:$4,0))</f>
        <v>41539.139538961877</v>
      </c>
      <c r="AB34" s="346">
        <f>AA34</f>
        <v>41539.139538961877</v>
      </c>
      <c r="AC34" s="347">
        <f>INDEX('User Data SwipeStox'!$A$1:$OS$9988,MATCH($B34,'User Data SwipeStox'!$A:$A,0),MATCH(AC$15,'User Data SwipeStox'!$4:$4,0))</f>
        <v>44768.553492858067</v>
      </c>
      <c r="AD34" s="344">
        <f>INDEX('User Data SwipeStox'!$A$1:$OS$9988,MATCH($B34,'User Data SwipeStox'!$A:$A,0),MATCH(AD$15,'User Data SwipeStox'!$4:$4,0))</f>
        <v>48270.908842143879</v>
      </c>
      <c r="AE34" s="344">
        <f>INDEX('User Data SwipeStox'!$A$1:$OS$9988,MATCH($B34,'User Data SwipeStox'!$A:$A,0),MATCH(AE$15,'User Data SwipeStox'!$4:$4,0))</f>
        <v>52073.49972635827</v>
      </c>
      <c r="AF34" s="344">
        <f>INDEX('User Data SwipeStox'!$A$1:$OS$9988,MATCH($B34,'User Data SwipeStox'!$A:$A,0),MATCH(AF$15,'User Data SwipeStox'!$4:$4,0))</f>
        <v>56206.349698994098</v>
      </c>
      <c r="AG34" s="346">
        <f>AF34</f>
        <v>56206.349698994098</v>
      </c>
      <c r="AI34" s="358"/>
      <c r="AJ34" s="358"/>
      <c r="AK34" s="358"/>
    </row>
    <row r="35" spans="2:39" x14ac:dyDescent="0.3">
      <c r="B35" s="605" t="s">
        <v>165</v>
      </c>
      <c r="C35" s="620" t="s">
        <v>20</v>
      </c>
      <c r="D35" s="344">
        <f>INDEX('User Data SwipeStox'!$A$1:$OS$9988,MATCH($B35,'User Data SwipeStox'!$A:$A,0),MATCH(D$15,'User Data SwipeStox'!$4:$4,0))</f>
        <v>3926.3333333333335</v>
      </c>
      <c r="E35" s="344">
        <f>INDEX('User Data SwipeStox'!$A$1:$OS$9988,MATCH($B35,'User Data SwipeStox'!$A:$A,0),MATCH(E$15,'User Data SwipeStox'!$4:$4,0))</f>
        <v>4934</v>
      </c>
      <c r="F35" s="344">
        <f>INDEX('User Data SwipeStox'!$A$1:$OS$9988,MATCH($B35,'User Data SwipeStox'!$A:$A,0),MATCH(F$15,'User Data SwipeStox'!$4:$4,0))</f>
        <v>3815.6666666666665</v>
      </c>
      <c r="G35" s="344">
        <f>INDEX('User Data SwipeStox'!$A$1:$OS$9988,MATCH($B35,'User Data SwipeStox'!$A:$A,0),MATCH(G$15,'User Data SwipeStox'!$4:$4,0))</f>
        <v>4193</v>
      </c>
      <c r="H35" s="346">
        <f>ROUND(AVERAGE(D35:G35),0)</f>
        <v>4217</v>
      </c>
      <c r="I35" s="344">
        <f>INDEX('User Data SwipeStox'!$A$1:$OS$9988,MATCH($B35,'User Data SwipeStox'!$A:$A,0),MATCH(I$15,'User Data SwipeStox'!$4:$4,0))</f>
        <v>3542.7874494343987</v>
      </c>
      <c r="J35" s="344">
        <f>INDEX('User Data SwipeStox'!$A$1:$OS$9988,MATCH($B35,'User Data SwipeStox'!$A:$A,0),MATCH(J$15,'User Data SwipeStox'!$4:$4,0))</f>
        <v>4319.6014506376769</v>
      </c>
      <c r="K35" s="344">
        <f>INDEX('User Data SwipeStox'!$A$1:$OS$9988,MATCH($B35,'User Data SwipeStox'!$A:$A,0),MATCH(K$15,'User Data SwipeStox'!$4:$4,0))</f>
        <v>4784.9598975148665</v>
      </c>
      <c r="L35" s="344">
        <f>INDEX('User Data SwipeStox'!$A$1:$OS$9988,MATCH($B35,'User Data SwipeStox'!$A:$A,0),MATCH(L$15,'User Data SwipeStox'!$4:$4,0))</f>
        <v>5186.3837492883395</v>
      </c>
      <c r="M35" s="346">
        <f>ROUND(AVERAGE(I35:L35),0)</f>
        <v>4458</v>
      </c>
      <c r="N35" s="344">
        <f>INDEX('User Data SwipeStox'!$A$1:$OS$9988,MATCH($B35,'User Data SwipeStox'!$A:$A,0),MATCH(N$15,'User Data SwipeStox'!$4:$4,0))</f>
        <v>5382.4170356311997</v>
      </c>
      <c r="O35" s="344">
        <f>INDEX('User Data SwipeStox'!$A$1:$OS$9988,MATCH($B35,'User Data SwipeStox'!$A:$A,0),MATCH(O$15,'User Data SwipeStox'!$4:$4,0))</f>
        <v>5520.3701296151448</v>
      </c>
      <c r="P35" s="344">
        <f>INDEX('User Data SwipeStox'!$A$1:$OS$9988,MATCH($B35,'User Data SwipeStox'!$A:$A,0),MATCH(P$15,'User Data SwipeStox'!$4:$4,0))</f>
        <v>5703.6962461934427</v>
      </c>
      <c r="Q35" s="344">
        <f>INDEX('User Data SwipeStox'!$A$1:$OS$9988,MATCH($B35,'User Data SwipeStox'!$A:$A,0),MATCH(Q$15,'User Data SwipeStox'!$4:$4,0))</f>
        <v>5928.3751273494199</v>
      </c>
      <c r="R35" s="346">
        <f>ROUND(AVERAGE(N35:Q35),0)</f>
        <v>5634</v>
      </c>
      <c r="S35" s="344">
        <f>INDEX('User Data SwipeStox'!$A$1:$OS$9988,MATCH($B35,'User Data SwipeStox'!$A:$A,0),MATCH(S$15,'User Data SwipeStox'!$4:$4,0))</f>
        <v>6046.0535880995676</v>
      </c>
      <c r="T35" s="344">
        <f>INDEX('User Data SwipeStox'!$A$1:$OS$9988,MATCH($B35,'User Data SwipeStox'!$A:$A,0),MATCH(T$15,'User Data SwipeStox'!$4:$4,0))</f>
        <v>6170.9149980126112</v>
      </c>
      <c r="U35" s="344">
        <f>INDEX('User Data SwipeStox'!$A$1:$OS$9988,MATCH($B35,'User Data SwipeStox'!$A:$A,0),MATCH(U$15,'User Data SwipeStox'!$4:$4,0))</f>
        <v>6383.1054090680236</v>
      </c>
      <c r="V35" s="344">
        <f>INDEX('User Data SwipeStox'!$A$1:$OS$9988,MATCH($B35,'User Data SwipeStox'!$A:$A,0),MATCH(V$15,'User Data SwipeStox'!$4:$4,0))</f>
        <v>6671.0753062791</v>
      </c>
      <c r="W35" s="346">
        <f>ROUND(AVERAGE(S35:V35),0)</f>
        <v>6318</v>
      </c>
      <c r="X35" s="344">
        <f>INDEX('User Data SwipeStox'!$A$1:$OS$9988,MATCH($B35,'User Data SwipeStox'!$A:$A,0),MATCH(X$15,'User Data SwipeStox'!$4:$4,0))</f>
        <v>6965.2036937355351</v>
      </c>
      <c r="Y35" s="344">
        <f>INDEX('User Data SwipeStox'!$A$1:$OS$9988,MATCH($B35,'User Data SwipeStox'!$A:$A,0),MATCH(Y$15,'User Data SwipeStox'!$4:$4,0))</f>
        <v>7317.8304580236509</v>
      </c>
      <c r="Z35" s="344">
        <f>INDEX('User Data SwipeStox'!$A$1:$OS$9988,MATCH($B35,'User Data SwipeStox'!$A:$A,0),MATCH(Z$15,'User Data SwipeStox'!$4:$4,0))</f>
        <v>7749.0820025732037</v>
      </c>
      <c r="AA35" s="344">
        <f>INDEX('User Data SwipeStox'!$A$1:$OS$9988,MATCH($B35,'User Data SwipeStox'!$A:$A,0),MATCH(AA$15,'User Data SwipeStox'!$4:$4,0))</f>
        <v>8265.8448830662583</v>
      </c>
      <c r="AB35" s="346">
        <f>ROUND(AVERAGE(X35:AA35),0)</f>
        <v>7574</v>
      </c>
      <c r="AC35" s="347">
        <f>INDEX('User Data SwipeStox'!$A$1:$OS$9988,MATCH($B35,'User Data SwipeStox'!$A:$A,0),MATCH(AC$15,'User Data SwipeStox'!$4:$4,0))</f>
        <v>8827.4517784372292</v>
      </c>
      <c r="AD35" s="344">
        <f>INDEX('User Data SwipeStox'!$A$1:$OS$9988,MATCH($B35,'User Data SwipeStox'!$A:$A,0),MATCH(AD$15,'User Data SwipeStox'!$4:$4,0))</f>
        <v>9466.9277316518219</v>
      </c>
      <c r="AE35" s="344">
        <f>INDEX('User Data SwipeStox'!$A$1:$OS$9988,MATCH($B35,'User Data SwipeStox'!$A:$A,0),MATCH(AE$15,'User Data SwipeStox'!$4:$4,0))</f>
        <v>10192.420995531302</v>
      </c>
      <c r="AF35" s="344">
        <f>INDEX('User Data SwipeStox'!$A$1:$OS$9988,MATCH($B35,'User Data SwipeStox'!$A:$A,0),MATCH(AF$15,'User Data SwipeStox'!$4:$4,0))</f>
        <v>11006.552408284082</v>
      </c>
      <c r="AG35" s="346">
        <f>ROUND(AVERAGE(AC35:AF35),0)</f>
        <v>9873</v>
      </c>
      <c r="AI35" s="358"/>
      <c r="AJ35" s="358"/>
      <c r="AK35" s="358"/>
    </row>
    <row r="36" spans="2:39" x14ac:dyDescent="0.3">
      <c r="B36" s="618" t="s">
        <v>16</v>
      </c>
      <c r="C36" s="619" t="s">
        <v>16</v>
      </c>
      <c r="D36" s="344">
        <f>INDEX('User Data SwipeStox'!$A$1:$OS$9988,MATCH($B36,'User Data SwipeStox'!$A:$A,0),MATCH(D$15,'User Data SwipeStox'!$4:$4,0))</f>
        <v>506821</v>
      </c>
      <c r="E36" s="344">
        <f>INDEX('User Data SwipeStox'!$A$1:$OS$9988,MATCH($B36,'User Data SwipeStox'!$A:$A,0),MATCH(E$15,'User Data SwipeStox'!$4:$4,0))</f>
        <v>552833</v>
      </c>
      <c r="F36" s="344">
        <f>INDEX('User Data SwipeStox'!$A$1:$OS$9988,MATCH($B36,'User Data SwipeStox'!$A:$A,0),MATCH(F$15,'User Data SwipeStox'!$4:$4,0))</f>
        <v>472655</v>
      </c>
      <c r="G36" s="344">
        <f>INDEX('User Data SwipeStox'!$A$1:$OS$9988,MATCH($B36,'User Data SwipeStox'!$A:$A,0),MATCH(G$15,'User Data SwipeStox'!$4:$4,0))</f>
        <v>566055</v>
      </c>
      <c r="H36" s="346">
        <f>SUM(D36:G36)</f>
        <v>2098364</v>
      </c>
      <c r="I36" s="344">
        <f>INDEX('User Data SwipeStox'!$A$1:$OS$9988,MATCH($B36,'User Data SwipeStox'!$A:$A,0),MATCH(I$15,'User Data SwipeStox'!$4:$4,0))</f>
        <v>478276.30567364383</v>
      </c>
      <c r="J36" s="344">
        <f>INDEX('User Data SwipeStox'!$A$1:$OS$9988,MATCH($B36,'User Data SwipeStox'!$A:$A,0),MATCH(J$15,'User Data SwipeStox'!$4:$4,0))</f>
        <v>583146.19583608641</v>
      </c>
      <c r="K36" s="344">
        <f>INDEX('User Data SwipeStox'!$A$1:$OS$9988,MATCH($B36,'User Data SwipeStox'!$A:$A,0),MATCH(K$15,'User Data SwipeStox'!$4:$4,0))</f>
        <v>645969.58616450697</v>
      </c>
      <c r="L36" s="344">
        <f>INDEX('User Data SwipeStox'!$A$1:$OS$9988,MATCH($B36,'User Data SwipeStox'!$A:$A,0),MATCH(L$15,'User Data SwipeStox'!$4:$4,0))</f>
        <v>700161.80615392583</v>
      </c>
      <c r="M36" s="346">
        <f>SUM(I36:L36)</f>
        <v>2407553.8938281629</v>
      </c>
      <c r="N36" s="344">
        <f>INDEX('User Data SwipeStox'!$A$1:$OS$9988,MATCH($B36,'User Data SwipeStox'!$A:$A,0),MATCH(N$15,'User Data SwipeStox'!$4:$4,0))</f>
        <v>726626.29981021199</v>
      </c>
      <c r="O36" s="344">
        <f>INDEX('User Data SwipeStox'!$A$1:$OS$9988,MATCH($B36,'User Data SwipeStox'!$A:$A,0),MATCH(O$15,'User Data SwipeStox'!$4:$4,0))</f>
        <v>745249.96749804448</v>
      </c>
      <c r="P36" s="344">
        <f>INDEX('User Data SwipeStox'!$A$1:$OS$9988,MATCH($B36,'User Data SwipeStox'!$A:$A,0),MATCH(P$15,'User Data SwipeStox'!$4:$4,0))</f>
        <v>769998.99323611474</v>
      </c>
      <c r="Q36" s="344">
        <f>INDEX('User Data SwipeStox'!$A$1:$OS$9988,MATCH($B36,'User Data SwipeStox'!$A:$A,0),MATCH(Q$15,'User Data SwipeStox'!$4:$4,0))</f>
        <v>800330.64219217165</v>
      </c>
      <c r="R36" s="346">
        <f>SUM(N36:Q36)</f>
        <v>3042205.9027365427</v>
      </c>
      <c r="S36" s="344">
        <f>INDEX('User Data SwipeStox'!$A$1:$OS$9988,MATCH($B36,'User Data SwipeStox'!$A:$A,0),MATCH(S$15,'User Data SwipeStox'!$4:$4,0))</f>
        <v>816217.2343934417</v>
      </c>
      <c r="T36" s="344">
        <f>INDEX('User Data SwipeStox'!$A$1:$OS$9988,MATCH($B36,'User Data SwipeStox'!$A:$A,0),MATCH(T$15,'User Data SwipeStox'!$4:$4,0))</f>
        <v>833073.52473170264</v>
      </c>
      <c r="U36" s="344">
        <f>INDEX('User Data SwipeStox'!$A$1:$OS$9988,MATCH($B36,'User Data SwipeStox'!$A:$A,0),MATCH(U$15,'User Data SwipeStox'!$4:$4,0))</f>
        <v>861719.23022418306</v>
      </c>
      <c r="V36" s="344">
        <f>INDEX('User Data SwipeStox'!$A$1:$OS$9988,MATCH($B36,'User Data SwipeStox'!$A:$A,0),MATCH(V$15,'User Data SwipeStox'!$4:$4,0))</f>
        <v>900595.16634767852</v>
      </c>
      <c r="W36" s="346">
        <f>SUM(S36:V36)</f>
        <v>3411605.1556970058</v>
      </c>
      <c r="X36" s="344">
        <f>INDEX('User Data SwipeStox'!$A$1:$OS$9988,MATCH($B36,'User Data SwipeStox'!$A:$A,0),MATCH(X$15,'User Data SwipeStox'!$4:$4,0))</f>
        <v>940302.4986542972</v>
      </c>
      <c r="Y36" s="344">
        <f>INDEX('User Data SwipeStox'!$A$1:$OS$9988,MATCH($B36,'User Data SwipeStox'!$A:$A,0),MATCH(Y$15,'User Data SwipeStox'!$4:$4,0))</f>
        <v>987907.11183319287</v>
      </c>
      <c r="Z36" s="344">
        <f>INDEX('User Data SwipeStox'!$A$1:$OS$9988,MATCH($B36,'User Data SwipeStox'!$A:$A,0),MATCH(Z$15,'User Data SwipeStox'!$4:$4,0))</f>
        <v>1046126.0703473826</v>
      </c>
      <c r="AA36" s="344">
        <f>INDEX('User Data SwipeStox'!$A$1:$OS$9988,MATCH($B36,'User Data SwipeStox'!$A:$A,0),MATCH(AA$15,'User Data SwipeStox'!$4:$4,0))</f>
        <v>1115889.0592139447</v>
      </c>
      <c r="AB36" s="346">
        <f>SUM(X36:AA36)</f>
        <v>4090224.7400488174</v>
      </c>
      <c r="AC36" s="347">
        <f>INDEX('User Data SwipeStox'!$A$1:$OS$9988,MATCH($B36,'User Data SwipeStox'!$A:$A,0),MATCH(AC$15,'User Data SwipeStox'!$4:$4,0))</f>
        <v>1191705.990089026</v>
      </c>
      <c r="AD36" s="344">
        <f>INDEX('User Data SwipeStox'!$A$1:$OS$9988,MATCH($B36,'User Data SwipeStox'!$A:$A,0),MATCH(AD$15,'User Data SwipeStox'!$4:$4,0))</f>
        <v>1278035.2437729959</v>
      </c>
      <c r="AE36" s="344">
        <f>INDEX('User Data SwipeStox'!$A$1:$OS$9988,MATCH($B36,'User Data SwipeStox'!$A:$A,0),MATCH(AE$15,'User Data SwipeStox'!$4:$4,0))</f>
        <v>1375976.8343967258</v>
      </c>
      <c r="AF36" s="344">
        <f>INDEX('User Data SwipeStox'!$A$1:$OS$9988,MATCH($B36,'User Data SwipeStox'!$A:$A,0),MATCH(AF$15,'User Data SwipeStox'!$4:$4,0))</f>
        <v>1485884.575118351</v>
      </c>
      <c r="AG36" s="346">
        <f>SUM(AC36:AF36)</f>
        <v>5331602.6433770983</v>
      </c>
      <c r="AI36" s="358"/>
      <c r="AJ36" s="358"/>
      <c r="AK36" s="358"/>
    </row>
    <row r="37" spans="2:39" x14ac:dyDescent="0.3">
      <c r="B37" s="594" t="s">
        <v>15</v>
      </c>
      <c r="C37" s="617" t="s">
        <v>15</v>
      </c>
      <c r="D37" s="359">
        <f>INDEX('User Data SwipeStox'!$A$1:$OS$9988,MATCH($B37,'User Data SwipeStox'!$A:$A,0),MATCH(D$15,'User Data SwipeStox'!$4:$4,0))</f>
        <v>11332659143.374985</v>
      </c>
      <c r="E37" s="359">
        <f>INDEX('User Data SwipeStox'!$A$1:$OS$9988,MATCH($B37,'User Data SwipeStox'!$A:$A,0),MATCH(E$15,'User Data SwipeStox'!$4:$4,0))</f>
        <v>11051993591.955645</v>
      </c>
      <c r="F37" s="359">
        <f>INDEX('User Data SwipeStox'!$A$1:$OS$9988,MATCH($B37,'User Data SwipeStox'!$A:$A,0),MATCH(F$15,'User Data SwipeStox'!$4:$4,0))</f>
        <v>10167006241.725151</v>
      </c>
      <c r="G37" s="359">
        <f>INDEX('User Data SwipeStox'!$A$1:$OS$9988,MATCH($B37,'User Data SwipeStox'!$A:$A,0),MATCH(G$15,'User Data SwipeStox'!$4:$4,0))</f>
        <v>12232346660.1</v>
      </c>
      <c r="H37" s="360">
        <f>SUM(D37:G37)</f>
        <v>44784005637.155777</v>
      </c>
      <c r="I37" s="359">
        <f>INDEX('User Data SwipeStox'!$A$1:$OS$9988,MATCH($B37,'User Data SwipeStox'!$A:$A,0),MATCH(I$15,'User Data SwipeStox'!$4:$4,0))</f>
        <v>10335464875.872421</v>
      </c>
      <c r="J37" s="359">
        <f>INDEX('User Data SwipeStox'!$A$1:$OS$9988,MATCH($B37,'User Data SwipeStox'!$A:$A,0),MATCH(J$15,'User Data SwipeStox'!$4:$4,0))</f>
        <v>12601684325.702576</v>
      </c>
      <c r="K37" s="359">
        <f>INDEX('User Data SwipeStox'!$A$1:$OS$9988,MATCH($B37,'User Data SwipeStox'!$A:$A,0),MATCH(K$15,'User Data SwipeStox'!$4:$4,0))</f>
        <v>13959286482.489487</v>
      </c>
      <c r="L37" s="359">
        <f>INDEX('User Data SwipeStox'!$A$1:$OS$9988,MATCH($B37,'User Data SwipeStox'!$A:$A,0),MATCH(L$15,'User Data SwipeStox'!$4:$4,0))</f>
        <v>15130370601.861229</v>
      </c>
      <c r="M37" s="360">
        <f>SUM(I37:L37)</f>
        <v>52026806285.925713</v>
      </c>
      <c r="N37" s="359">
        <f>INDEX('User Data SwipeStox'!$A$1:$OS$9988,MATCH($B37,'User Data SwipeStox'!$A:$A,0),MATCH(N$15,'User Data SwipeStox'!$4:$4,0))</f>
        <v>15702263546.164715</v>
      </c>
      <c r="O37" s="359">
        <f>INDEX('User Data SwipeStox'!$A$1:$OS$9988,MATCH($B37,'User Data SwipeStox'!$A:$A,0),MATCH(O$15,'User Data SwipeStox'!$4:$4,0))</f>
        <v>16104717652.638592</v>
      </c>
      <c r="P37" s="359">
        <f>INDEX('User Data SwipeStox'!$A$1:$OS$9988,MATCH($B37,'User Data SwipeStox'!$A:$A,0),MATCH(P$15,'User Data SwipeStox'!$4:$4,0))</f>
        <v>16639539644.013657</v>
      </c>
      <c r="Q37" s="359">
        <f>INDEX('User Data SwipeStox'!$A$1:$OS$9988,MATCH($B37,'User Data SwipeStox'!$A:$A,0),MATCH(Q$15,'User Data SwipeStox'!$4:$4,0))</f>
        <v>17295001118.257236</v>
      </c>
      <c r="R37" s="360">
        <f>SUM(N37:Q37)</f>
        <v>65741521961.074203</v>
      </c>
      <c r="S37" s="359">
        <f>INDEX('User Data SwipeStox'!$A$1:$OS$9988,MATCH($B37,'User Data SwipeStox'!$A:$A,0),MATCH(S$15,'User Data SwipeStox'!$4:$4,0))</f>
        <v>17638307516.140083</v>
      </c>
      <c r="T37" s="359">
        <f>INDEX('User Data SwipeStox'!$A$1:$OS$9988,MATCH($B37,'User Data SwipeStox'!$A:$A,0),MATCH(T$15,'User Data SwipeStox'!$4:$4,0))</f>
        <v>18002568916.217644</v>
      </c>
      <c r="U37" s="359">
        <f>INDEX('User Data SwipeStox'!$A$1:$OS$9988,MATCH($B37,'User Data SwipeStox'!$A:$A,0),MATCH(U$15,'User Data SwipeStox'!$4:$4,0))</f>
        <v>18621597455.683155</v>
      </c>
      <c r="V37" s="359">
        <f>INDEX('User Data SwipeStox'!$A$1:$OS$9988,MATCH($B37,'User Data SwipeStox'!$A:$A,0),MATCH(V$15,'User Data SwipeStox'!$4:$4,0))</f>
        <v>19461699437.643391</v>
      </c>
      <c r="W37" s="360">
        <f>SUM(S37:V37)</f>
        <v>73724173325.684265</v>
      </c>
      <c r="X37" s="359">
        <f>INDEX('User Data SwipeStox'!$A$1:$OS$9988,MATCH($B37,'User Data SwipeStox'!$A:$A,0),MATCH(X$15,'User Data SwipeStox'!$4:$4,0))</f>
        <v>20319767741.469604</v>
      </c>
      <c r="Y37" s="359">
        <f>INDEX('User Data SwipeStox'!$A$1:$OS$9988,MATCH($B37,'User Data SwipeStox'!$A:$A,0),MATCH(Y$15,'User Data SwipeStox'!$4:$4,0))</f>
        <v>21348494863.435169</v>
      </c>
      <c r="Z37" s="359">
        <f>INDEX('User Data SwipeStox'!$A$1:$OS$9988,MATCH($B37,'User Data SwipeStox'!$A:$A,0),MATCH(Z$15,'User Data SwipeStox'!$4:$4,0))</f>
        <v>22606596077.514275</v>
      </c>
      <c r="AA37" s="359">
        <f>INDEX('User Data SwipeStox'!$A$1:$OS$9988,MATCH($B37,'User Data SwipeStox'!$A:$A,0),MATCH(AA$15,'User Data SwipeStox'!$4:$4,0))</f>
        <v>24114161709.582687</v>
      </c>
      <c r="AB37" s="360">
        <f>SUM(X37:AA37)</f>
        <v>88389020392.00174</v>
      </c>
      <c r="AC37" s="361">
        <f>INDEX('User Data SwipeStox'!$A$1:$OS$9988,MATCH($B37,'User Data SwipeStox'!$A:$A,0),MATCH(AC$15,'User Data SwipeStox'!$4:$4,0))</f>
        <v>25752551938.745636</v>
      </c>
      <c r="AD37" s="359">
        <f>INDEX('User Data SwipeStox'!$A$1:$OS$9988,MATCH($B37,'User Data SwipeStox'!$A:$A,0),MATCH(AD$15,'User Data SwipeStox'!$4:$4,0))</f>
        <v>27618111571.590561</v>
      </c>
      <c r="AE37" s="359">
        <f>INDEX('User Data SwipeStox'!$A$1:$OS$9988,MATCH($B37,'User Data SwipeStox'!$A:$A,0),MATCH(AE$15,'User Data SwipeStox'!$4:$4,0))</f>
        <v>29734611715.483051</v>
      </c>
      <c r="AF37" s="359">
        <f>INDEX('User Data SwipeStox'!$A$1:$OS$9988,MATCH($B37,'User Data SwipeStox'!$A:$A,0),MATCH(AF$15,'User Data SwipeStox'!$4:$4,0))</f>
        <v>32109698209.084045</v>
      </c>
      <c r="AG37" s="360">
        <f>SUM(AC37:AF37)</f>
        <v>115214973434.90329</v>
      </c>
    </row>
    <row r="38" spans="2:39" x14ac:dyDescent="0.3">
      <c r="B38" s="594" t="s">
        <v>48</v>
      </c>
      <c r="C38" s="617" t="s">
        <v>48</v>
      </c>
      <c r="D38" s="359">
        <f>INDEX('User Data SwipeStox'!$A$1:$OS$9988,MATCH($B38,'User Data SwipeStox'!$A:$A,0),MATCH(D$15,'User Data SwipeStox'!$4:$4,0))</f>
        <v>279124.82375700842</v>
      </c>
      <c r="E38" s="359">
        <f>INDEX('User Data SwipeStox'!$A$1:$OS$9988,MATCH($B38,'User Data SwipeStox'!$A:$A,0),MATCH(E$15,'User Data SwipeStox'!$4:$4,0))</f>
        <v>395247.64233644801</v>
      </c>
      <c r="F38" s="359">
        <f>INDEX('User Data SwipeStox'!$A$1:$OS$9988,MATCH($B38,'User Data SwipeStox'!$A:$A,0),MATCH(F$15,'User Data SwipeStox'!$4:$4,0))</f>
        <v>332208.14186652517</v>
      </c>
      <c r="G38" s="359">
        <f>INDEX('User Data SwipeStox'!$A$1:$OS$9988,MATCH($B38,'User Data SwipeStox'!$A:$A,0),MATCH(G$15,'User Data SwipeStox'!$4:$4,0))</f>
        <v>348419.46535751002</v>
      </c>
      <c r="H38" s="360">
        <f>SUM(D38:G38)</f>
        <v>1355000.0733174914</v>
      </c>
      <c r="I38" s="359">
        <f>INDEX('User Data SwipeStox'!$A$1:$OS$9988,MATCH($B38,'User Data SwipeStox'!$A:$A,0),MATCH(I$15,'User Data SwipeStox'!$4:$4,0))</f>
        <v>294389.72311166942</v>
      </c>
      <c r="J38" s="359">
        <f>INDEX('User Data SwipeStox'!$A$1:$OS$9988,MATCH($B38,'User Data SwipeStox'!$A:$A,0),MATCH(J$15,'User Data SwipeStox'!$4:$4,0))</f>
        <v>358939.47722125071</v>
      </c>
      <c r="K38" s="359">
        <f>INDEX('User Data SwipeStox'!$A$1:$OS$9988,MATCH($B38,'User Data SwipeStox'!$A:$A,0),MATCH(K$15,'User Data SwipeStox'!$4:$4,0))</f>
        <v>397608.67380139657</v>
      </c>
      <c r="L38" s="359">
        <f>INDEX('User Data SwipeStox'!$A$1:$OS$9988,MATCH($B38,'User Data SwipeStox'!$A:$A,0),MATCH(L$15,'User Data SwipeStox'!$4:$4,0))</f>
        <v>430965.19271784445</v>
      </c>
      <c r="M38" s="360">
        <f>SUM(I38:L38)</f>
        <v>1481903.066852161</v>
      </c>
      <c r="N38" s="344">
        <f>INDEX('User Data SwipeStox'!$A$1:$OS$9988,MATCH($B38,'User Data SwipeStox'!$A:$A,0),MATCH(N$15,'User Data SwipeStox'!$4:$4,0))</f>
        <v>447254.67824607127</v>
      </c>
      <c r="O38" s="344">
        <f>INDEX('User Data SwipeStox'!$A$1:$OS$9988,MATCH($B38,'User Data SwipeStox'!$A:$A,0),MATCH(O$15,'User Data SwipeStox'!$4:$4,0))</f>
        <v>458717.96068115358</v>
      </c>
      <c r="P38" s="344">
        <f>INDEX('User Data SwipeStox'!$A$1:$OS$9988,MATCH($B38,'User Data SwipeStox'!$A:$A,0),MATCH(P$15,'User Data SwipeStox'!$4:$4,0))</f>
        <v>473951.53748160176</v>
      </c>
      <c r="Q38" s="344">
        <f>INDEX('User Data SwipeStox'!$A$1:$OS$9988,MATCH($B38,'User Data SwipeStox'!$A:$A,0),MATCH(Q$15,'User Data SwipeStox'!$4:$4,0))</f>
        <v>492621.34326492855</v>
      </c>
      <c r="R38" s="360">
        <f>SUM(N38:Q38)</f>
        <v>1872545.5196737552</v>
      </c>
      <c r="S38" s="344">
        <f>INDEX('User Data SwipeStox'!$A$1:$OS$9988,MATCH($B38,'User Data SwipeStox'!$A:$A,0),MATCH(S$15,'User Data SwipeStox'!$4:$4,0))</f>
        <v>502399.89475041896</v>
      </c>
      <c r="T38" s="344">
        <f>INDEX('User Data SwipeStox'!$A$1:$OS$9988,MATCH($B38,'User Data SwipeStox'!$A:$A,0),MATCH(T$15,'User Data SwipeStox'!$4:$4,0))</f>
        <v>512775.31704607548</v>
      </c>
      <c r="U38" s="344">
        <f>INDEX('User Data SwipeStox'!$A$1:$OS$9988,MATCH($B38,'User Data SwipeStox'!$A:$A,0),MATCH(U$15,'User Data SwipeStox'!$4:$4,0))</f>
        <v>530407.38706131908</v>
      </c>
      <c r="V38" s="344">
        <f>INDEX('User Data SwipeStox'!$A$1:$OS$9988,MATCH($B38,'User Data SwipeStox'!$A:$A,0),MATCH(V$15,'User Data SwipeStox'!$4:$4,0))</f>
        <v>554336.39198031276</v>
      </c>
      <c r="W38" s="360">
        <f>SUM(S38:V38)</f>
        <v>2099918.9908381263</v>
      </c>
      <c r="X38" s="344">
        <f>INDEX('User Data SwipeStox'!$A$1:$OS$9988,MATCH($B38,'User Data SwipeStox'!$A:$A,0),MATCH(X$15,'User Data SwipeStox'!$4:$4,0))</f>
        <v>578777.13977521798</v>
      </c>
      <c r="Y38" s="344">
        <f>INDEX('User Data SwipeStox'!$A$1:$OS$9988,MATCH($B38,'User Data SwipeStox'!$A:$A,0),MATCH(Y$15,'User Data SwipeStox'!$4:$4,0))</f>
        <v>608078.83991450118</v>
      </c>
      <c r="Z38" s="344">
        <f>INDEX('User Data SwipeStox'!$A$1:$OS$9988,MATCH($B38,'User Data SwipeStox'!$A:$A,0),MATCH(Z$15,'User Data SwipeStox'!$4:$4,0))</f>
        <v>643913.90611687559</v>
      </c>
      <c r="AA38" s="344">
        <f>INDEX('User Data SwipeStox'!$A$1:$OS$9988,MATCH($B38,'User Data SwipeStox'!$A:$A,0),MATCH(AA$15,'User Data SwipeStox'!$4:$4,0))</f>
        <v>686854.58022562729</v>
      </c>
      <c r="AB38" s="360">
        <f>SUM(X38:AA38)</f>
        <v>2517624.4660322219</v>
      </c>
      <c r="AC38" s="347">
        <f>INDEX('User Data SwipeStox'!$A$1:$OS$9988,MATCH($B38,'User Data SwipeStox'!$A:$A,0),MATCH(AC$15,'User Data SwipeStox'!$4:$4,0))</f>
        <v>733521.59053477249</v>
      </c>
      <c r="AD38" s="344">
        <f>INDEX('User Data SwipeStox'!$A$1:$OS$9988,MATCH($B38,'User Data SwipeStox'!$A:$A,0),MATCH(AD$15,'User Data SwipeStox'!$4:$4,0))</f>
        <v>786659.1697687367</v>
      </c>
      <c r="AE38" s="344">
        <f>INDEX('User Data SwipeStox'!$A$1:$OS$9988,MATCH($B38,'User Data SwipeStox'!$A:$A,0),MATCH(AE$15,'User Data SwipeStox'!$4:$4,0))</f>
        <v>846944.40113562508</v>
      </c>
      <c r="AF38" s="344">
        <f>INDEX('User Data SwipeStox'!$A$1:$OS$9988,MATCH($B38,'User Data SwipeStox'!$A:$A,0),MATCH(AF$15,'User Data SwipeStox'!$4:$4,0))</f>
        <v>914595.06451794761</v>
      </c>
      <c r="AG38" s="360">
        <f>SUM(AC38:AF38)</f>
        <v>3281720.2259570817</v>
      </c>
    </row>
    <row r="39" spans="2:39" ht="15" thickBot="1" x14ac:dyDescent="0.35">
      <c r="B39" s="594" t="s">
        <v>78</v>
      </c>
      <c r="C39" s="595" t="s">
        <v>78</v>
      </c>
      <c r="D39" s="359"/>
      <c r="E39" s="359"/>
      <c r="F39" s="359">
        <f>INDEX('User Data SwipeStox'!$A$1:$OS$9988,MATCH($B39,'User Data SwipeStox'!$A:$A,0),MATCH(F$15,'User Data SwipeStox'!$4:$4,0))</f>
        <v>5954.6938775510207</v>
      </c>
      <c r="G39" s="359">
        <f>INDEX('User Data SwipeStox'!$A$1:$OS$9988,MATCH($B39,'User Data SwipeStox'!$A:$A,0),MATCH(G$15,'User Data SwipeStox'!$4:$4,0))</f>
        <v>48461.864892990649</v>
      </c>
      <c r="H39" s="360">
        <f>SUM(D39:G39)</f>
        <v>54416.558770541669</v>
      </c>
      <c r="I39" s="359">
        <f>INDEX('User Data SwipeStox'!$A$1:$OS$9988,MATCH($B39,'User Data SwipeStox'!$A:$A,0),MATCH(I$15,'User Data SwipeStox'!$4:$4,0))</f>
        <v>40946.867709798389</v>
      </c>
      <c r="J39" s="359">
        <f>INDEX('User Data SwipeStox'!$A$1:$OS$9988,MATCH($B39,'User Data SwipeStox'!$A:$A,0),MATCH(J$15,'User Data SwipeStox'!$4:$4,0))</f>
        <v>49925.139735180957</v>
      </c>
      <c r="K39" s="359">
        <f>INDEX('User Data SwipeStox'!$A$1:$OS$9988,MATCH($B39,'User Data SwipeStox'!$A:$A,0),MATCH(K$15,'User Data SwipeStox'!$4:$4,0))</f>
        <v>55303.655766533593</v>
      </c>
      <c r="L39" s="359">
        <f>INDEX('User Data SwipeStox'!$A$1:$OS$9988,MATCH($B39,'User Data SwipeStox'!$A:$A,0),MATCH(L$15,'User Data SwipeStox'!$4:$4,0))</f>
        <v>59943.185897573836</v>
      </c>
      <c r="M39" s="360">
        <f>SUM(I39:L39)</f>
        <v>206118.84910908676</v>
      </c>
      <c r="N39" s="344">
        <f>INDEX('User Data SwipeStox'!$A$1:$OS$9988,MATCH($B39,'User Data SwipeStox'!$A:$A,0),MATCH(N$15,'User Data SwipeStox'!$4:$4,0))</f>
        <v>62208.943208070159</v>
      </c>
      <c r="O39" s="344">
        <f>INDEX('User Data SwipeStox'!$A$1:$OS$9988,MATCH($B39,'User Data SwipeStox'!$A:$A,0),MATCH(O$15,'User Data SwipeStox'!$4:$4,0))</f>
        <v>63803.349164836072</v>
      </c>
      <c r="P39" s="344">
        <f>INDEX('User Data SwipeStox'!$A$1:$OS$9988,MATCH($B39,'User Data SwipeStox'!$A:$A,0),MATCH(P$15,'User Data SwipeStox'!$4:$4,0))</f>
        <v>65922.136890987589</v>
      </c>
      <c r="Q39" s="344">
        <f>INDEX('User Data SwipeStox'!$A$1:$OS$9988,MATCH($B39,'User Data SwipeStox'!$A:$A,0),MATCH(Q$15,'User Data SwipeStox'!$4:$4,0))</f>
        <v>68518.932488551844</v>
      </c>
      <c r="R39" s="360">
        <f>SUM(N39:Q39)</f>
        <v>260453.36175244563</v>
      </c>
      <c r="S39" s="344">
        <f>INDEX('User Data SwipeStox'!$A$1:$OS$9988,MATCH($B39,'User Data SwipeStox'!$A:$A,0),MATCH(S$15,'User Data SwipeStox'!$4:$4,0))</f>
        <v>69879.043243867098</v>
      </c>
      <c r="T39" s="344">
        <f>INDEX('User Data SwipeStox'!$A$1:$OS$9988,MATCH($B39,'User Data SwipeStox'!$A:$A,0),MATCH(T$15,'User Data SwipeStox'!$4:$4,0))</f>
        <v>71322.198948783014</v>
      </c>
      <c r="U39" s="344">
        <f>INDEX('User Data SwipeStox'!$A$1:$OS$9988,MATCH($B39,'User Data SwipeStox'!$A:$A,0),MATCH(U$15,'User Data SwipeStox'!$4:$4,0))</f>
        <v>73774.736051422398</v>
      </c>
      <c r="V39" s="344">
        <f>INDEX('User Data SwipeStox'!$A$1:$OS$9988,MATCH($B39,'User Data SwipeStox'!$A:$A,0),MATCH(V$15,'User Data SwipeStox'!$4:$4,0))</f>
        <v>77102.955036706539</v>
      </c>
      <c r="W39" s="360">
        <f>SUM(S39:V39)</f>
        <v>292078.93328077905</v>
      </c>
      <c r="X39" s="344">
        <f>INDEX('User Data SwipeStox'!$A$1:$OS$9988,MATCH($B39,'User Data SwipeStox'!$A:$A,0),MATCH(X$15,'User Data SwipeStox'!$4:$4,0))</f>
        <v>80502.375791493643</v>
      </c>
      <c r="Y39" s="344">
        <f>INDEX('User Data SwipeStox'!$A$1:$OS$9988,MATCH($B39,'User Data SwipeStox'!$A:$A,0),MATCH(Y$15,'User Data SwipeStox'!$4:$4,0))</f>
        <v>84577.999323183714</v>
      </c>
      <c r="Z39" s="344">
        <f>INDEX('User Data SwipeStox'!$A$1:$OS$9988,MATCH($B39,'User Data SwipeStox'!$A:$A,0),MATCH(Z$15,'User Data SwipeStox'!$4:$4,0))</f>
        <v>89562.40856622532</v>
      </c>
      <c r="AA39" s="344">
        <f>INDEX('User Data SwipeStox'!$A$1:$OS$9988,MATCH($B39,'User Data SwipeStox'!$A:$A,0),MATCH(AA$15,'User Data SwipeStox'!$4:$4,0))</f>
        <v>95534.938558381284</v>
      </c>
      <c r="AB39" s="360">
        <f>SUM(X39:AA39)</f>
        <v>350177.72223928396</v>
      </c>
      <c r="AC39" s="347">
        <f>INDEX('User Data SwipeStox'!$A$1:$OS$9988,MATCH($B39,'User Data SwipeStox'!$A:$A,0),MATCH(AC$15,'User Data SwipeStox'!$4:$4,0))</f>
        <v>102026.00007433243</v>
      </c>
      <c r="AD39" s="344">
        <f>INDEX('User Data SwipeStox'!$A$1:$OS$9988,MATCH($B39,'User Data SwipeStox'!$A:$A,0),MATCH(AD$15,'User Data SwipeStox'!$4:$4,0))</f>
        <v>109416.85789987423</v>
      </c>
      <c r="AE39" s="344">
        <f>INDEX('User Data SwipeStox'!$A$1:$OS$9988,MATCH($B39,'User Data SwipeStox'!$A:$A,0),MATCH(AE$15,'User Data SwipeStox'!$4:$4,0))</f>
        <v>117801.97209795451</v>
      </c>
      <c r="AF39" s="344">
        <f>INDEX('User Data SwipeStox'!$A$1:$OS$9988,MATCH($B39,'User Data SwipeStox'!$A:$A,0),MATCH(AF$15,'User Data SwipeStox'!$4:$4,0))</f>
        <v>127211.59271894324</v>
      </c>
      <c r="AG39" s="360">
        <f>SUM(AC39:AF39)</f>
        <v>456456.42279110441</v>
      </c>
      <c r="AJ39" s="358"/>
      <c r="AK39" s="358"/>
      <c r="AL39" s="358"/>
      <c r="AM39" s="358"/>
    </row>
    <row r="40" spans="2:39" ht="15" thickBot="1" x14ac:dyDescent="0.35">
      <c r="B40" s="610" t="s">
        <v>135</v>
      </c>
      <c r="C40" s="634" t="s">
        <v>103</v>
      </c>
      <c r="D40" s="425"/>
      <c r="E40" s="426"/>
      <c r="F40" s="426"/>
      <c r="G40" s="426"/>
      <c r="H40" s="427"/>
      <c r="I40" s="428">
        <f>'User Data SwipeStox'!Z30*I17</f>
        <v>24360899.40902397</v>
      </c>
      <c r="J40" s="428">
        <f>'User Data SwipeStox'!AA30*J17</f>
        <v>26265075.782214113</v>
      </c>
      <c r="K40" s="428">
        <f>'User Data SwipeStox'!AB30*K17</f>
        <v>28238724.981482897</v>
      </c>
      <c r="L40" s="428">
        <f>'User Data SwipeStox'!AC30*L17</f>
        <v>30288794.289438188</v>
      </c>
      <c r="M40" s="429">
        <f>L40</f>
        <v>30288794.289438188</v>
      </c>
      <c r="N40" s="428">
        <f>'User Data SwipeStox'!AD30*N17</f>
        <v>32081865.524594799</v>
      </c>
      <c r="O40" s="428">
        <f>'User Data SwipeStox'!AE30*O17</f>
        <v>34037671.749908037</v>
      </c>
      <c r="P40" s="428">
        <f>'User Data SwipeStox'!AF30*P17</f>
        <v>36097353.191427507</v>
      </c>
      <c r="Q40" s="428">
        <f>'User Data SwipeStox'!AG30*Q17</f>
        <v>38271297.370773792</v>
      </c>
      <c r="R40" s="429">
        <f>Q40</f>
        <v>38271297.370773792</v>
      </c>
      <c r="S40" s="428">
        <f>'User Data SwipeStox'!AH30*S17</f>
        <v>40251221.835400626</v>
      </c>
      <c r="T40" s="428">
        <f>'User Data SwipeStox'!AI30*T17</f>
        <v>42429945.486468956</v>
      </c>
      <c r="U40" s="428">
        <f>'User Data SwipeStox'!AJ30*U17</f>
        <v>44760752.841584802</v>
      </c>
      <c r="V40" s="428">
        <f>'User Data SwipeStox'!AK30*V17</f>
        <v>47258852.271152899</v>
      </c>
      <c r="W40" s="429">
        <f>V40</f>
        <v>47258852.271152899</v>
      </c>
      <c r="X40" s="428">
        <f>'User Data SwipeStox'!AL30*X17</f>
        <v>49826205.747526035</v>
      </c>
      <c r="Y40" s="428">
        <f>'User Data SwipeStox'!AM30*Y17</f>
        <v>52617715.398893967</v>
      </c>
      <c r="Z40" s="428">
        <f>'User Data SwipeStox'!AN30*Z17</f>
        <v>55631890.801357858</v>
      </c>
      <c r="AA40" s="428">
        <f>'User Data SwipeStox'!AO30*AA17</f>
        <v>58890998.530027315</v>
      </c>
      <c r="AB40" s="429">
        <f>AA40</f>
        <v>58890998.530027315</v>
      </c>
      <c r="AC40" s="428">
        <f>'User Data SwipeStox'!AP30*AC17</f>
        <v>62378543.519275561</v>
      </c>
      <c r="AD40" s="428">
        <f>'User Data SwipeStox'!AQ30*AD17</f>
        <v>66170218.324985243</v>
      </c>
      <c r="AE40" s="428">
        <f>'User Data SwipeStox'!AR30*AE17</f>
        <v>70287898.056874514</v>
      </c>
      <c r="AF40" s="428">
        <f>'User Data SwipeStox'!AS30*AF17</f>
        <v>74764183.207561344</v>
      </c>
      <c r="AG40" s="429">
        <f>AF40</f>
        <v>74764183.207561344</v>
      </c>
      <c r="AJ40" s="358"/>
      <c r="AK40" s="358"/>
      <c r="AL40" s="358"/>
      <c r="AM40" s="358"/>
    </row>
    <row r="41" spans="2:39" x14ac:dyDescent="0.3">
      <c r="B41" s="616" t="s">
        <v>186</v>
      </c>
      <c r="C41" s="617" t="s">
        <v>102</v>
      </c>
      <c r="D41" s="363"/>
      <c r="E41" s="349"/>
      <c r="F41" s="349"/>
      <c r="G41" s="349"/>
      <c r="H41" s="360"/>
      <c r="I41" s="349"/>
      <c r="J41" s="349">
        <f t="shared" ref="J41:AF41" si="14">(J40-I40)/I40</f>
        <v>7.816527383569348E-2</v>
      </c>
      <c r="K41" s="349">
        <f t="shared" si="14"/>
        <v>7.5143480096306364E-2</v>
      </c>
      <c r="L41" s="349">
        <f t="shared" si="14"/>
        <v>7.2597799982102307E-2</v>
      </c>
      <c r="M41" s="350"/>
      <c r="N41" s="349">
        <f t="shared" si="14"/>
        <v>5.9199161842565025E-2</v>
      </c>
      <c r="O41" s="349">
        <f t="shared" si="14"/>
        <v>6.0962983085066126E-2</v>
      </c>
      <c r="P41" s="349">
        <f t="shared" si="14"/>
        <v>6.051181927638849E-2</v>
      </c>
      <c r="Q41" s="349">
        <f t="shared" si="14"/>
        <v>6.0224475955831566E-2</v>
      </c>
      <c r="R41" s="350">
        <f>(R40-M40)/Q40</f>
        <v>0.2085767567271318</v>
      </c>
      <c r="S41" s="349">
        <f t="shared" si="14"/>
        <v>5.173392596141306E-2</v>
      </c>
      <c r="T41" s="349">
        <f t="shared" si="14"/>
        <v>5.4128137028430771E-2</v>
      </c>
      <c r="U41" s="349">
        <f t="shared" si="14"/>
        <v>5.4933074468812307E-2</v>
      </c>
      <c r="V41" s="349">
        <f t="shared" si="14"/>
        <v>5.5810040514940748E-2</v>
      </c>
      <c r="W41" s="350">
        <f>(W40-R40)/V40</f>
        <v>0.1901771724969539</v>
      </c>
      <c r="X41" s="349">
        <f t="shared" si="14"/>
        <v>5.4325345474804616E-2</v>
      </c>
      <c r="Y41" s="349">
        <f t="shared" si="14"/>
        <v>5.6024929241306642E-2</v>
      </c>
      <c r="Z41" s="349">
        <f t="shared" si="14"/>
        <v>5.7284421788621573E-2</v>
      </c>
      <c r="AA41" s="349">
        <f t="shared" si="14"/>
        <v>5.858344344805029E-2</v>
      </c>
      <c r="AB41" s="350">
        <f>(AB40-W40)/AA40</f>
        <v>0.1975199359702387</v>
      </c>
      <c r="AC41" s="364">
        <f t="shared" si="14"/>
        <v>5.9220340566479242E-2</v>
      </c>
      <c r="AD41" s="349">
        <f t="shared" si="14"/>
        <v>6.07849204516617E-2</v>
      </c>
      <c r="AE41" s="349">
        <f t="shared" si="14"/>
        <v>6.2228595221885091E-2</v>
      </c>
      <c r="AF41" s="349">
        <f t="shared" si="14"/>
        <v>6.3685005163545749E-2</v>
      </c>
      <c r="AG41" s="350">
        <f>(AG40-AB40)/AF40</f>
        <v>0.21231001258271862</v>
      </c>
      <c r="AJ41" s="358"/>
      <c r="AK41" s="358"/>
      <c r="AL41" s="358"/>
      <c r="AM41" s="358"/>
    </row>
    <row r="42" spans="2:39" x14ac:dyDescent="0.3">
      <c r="B42" s="605" t="s">
        <v>79</v>
      </c>
      <c r="C42" s="635" t="s">
        <v>79</v>
      </c>
      <c r="D42" s="363"/>
      <c r="E42" s="349"/>
      <c r="F42" s="349"/>
      <c r="G42" s="349"/>
      <c r="H42" s="350"/>
      <c r="I42" s="363"/>
      <c r="J42" s="349"/>
      <c r="K42" s="349"/>
      <c r="L42" s="349"/>
      <c r="M42" s="350"/>
      <c r="N42" s="363"/>
      <c r="O42" s="349"/>
      <c r="P42" s="349"/>
      <c r="Q42" s="349"/>
      <c r="R42" s="350"/>
      <c r="S42" s="363"/>
      <c r="T42" s="349"/>
      <c r="U42" s="349"/>
      <c r="V42" s="349"/>
      <c r="W42" s="350"/>
      <c r="X42" s="363"/>
      <c r="Y42" s="349"/>
      <c r="Z42" s="349"/>
      <c r="AA42" s="349"/>
      <c r="AB42" s="350"/>
      <c r="AC42" s="365"/>
      <c r="AD42" s="349"/>
      <c r="AE42" s="349"/>
      <c r="AF42" s="349"/>
      <c r="AG42" s="350"/>
    </row>
    <row r="43" spans="2:39" x14ac:dyDescent="0.3">
      <c r="B43" s="618" t="s">
        <v>104</v>
      </c>
      <c r="C43" s="636" t="s">
        <v>104</v>
      </c>
      <c r="D43" s="343"/>
      <c r="E43" s="343"/>
      <c r="F43" s="343"/>
      <c r="G43" s="343"/>
      <c r="H43" s="360">
        <f>SUM(D43:G43)</f>
        <v>0</v>
      </c>
      <c r="I43" s="343">
        <f>I39*$C$8</f>
        <v>40946.867709798389</v>
      </c>
      <c r="J43" s="343">
        <f>J39*$C$8</f>
        <v>49925.139735180957</v>
      </c>
      <c r="K43" s="343">
        <f>K39*$C$8</f>
        <v>55303.655766533593</v>
      </c>
      <c r="L43" s="343">
        <f>L39*$C$8</f>
        <v>59943.185897573836</v>
      </c>
      <c r="M43" s="366">
        <f>SUM(I43:L43,0)</f>
        <v>206118.84910908676</v>
      </c>
      <c r="N43" s="343">
        <f>N39*$C$8</f>
        <v>62208.943208070159</v>
      </c>
      <c r="O43" s="343">
        <f>O39*$C$8</f>
        <v>63803.349164836072</v>
      </c>
      <c r="P43" s="343">
        <f>P39*$C$8</f>
        <v>65922.136890987589</v>
      </c>
      <c r="Q43" s="343">
        <f>Q39*$C$8</f>
        <v>68518.932488551844</v>
      </c>
      <c r="R43" s="366">
        <f>SUM(N43:Q43,0)</f>
        <v>260453.36175244563</v>
      </c>
      <c r="S43" s="343">
        <f>S39*$C$8</f>
        <v>69879.043243867098</v>
      </c>
      <c r="T43" s="343">
        <f>T39*$C$8</f>
        <v>71322.198948783014</v>
      </c>
      <c r="U43" s="343">
        <f>U39*$C$8</f>
        <v>73774.736051422398</v>
      </c>
      <c r="V43" s="343">
        <f>V39*$C$8</f>
        <v>77102.955036706539</v>
      </c>
      <c r="W43" s="366">
        <f>SUM(S43:V43,0)</f>
        <v>292078.93328077905</v>
      </c>
      <c r="X43" s="343">
        <f>X39*$C$8</f>
        <v>80502.375791493643</v>
      </c>
      <c r="Y43" s="343">
        <f>Y39*$C$8</f>
        <v>84577.999323183714</v>
      </c>
      <c r="Z43" s="343">
        <f>Z39*$C$8</f>
        <v>89562.40856622532</v>
      </c>
      <c r="AA43" s="343">
        <f>AA39*$C$8</f>
        <v>95534.938558381284</v>
      </c>
      <c r="AB43" s="366">
        <f>SUM(X43:AA43,0)</f>
        <v>350177.72223928396</v>
      </c>
      <c r="AC43" s="367">
        <f>AC39*$C$8</f>
        <v>102026.00007433243</v>
      </c>
      <c r="AD43" s="343">
        <f>AD39*$C$8</f>
        <v>109416.85789987423</v>
      </c>
      <c r="AE43" s="343">
        <f>AE39*$C$8</f>
        <v>117801.97209795451</v>
      </c>
      <c r="AF43" s="343">
        <f>AF39*$C$8</f>
        <v>127211.59271894324</v>
      </c>
      <c r="AG43" s="366">
        <f>SUM(AC43:AF43,0)</f>
        <v>456456.42279110441</v>
      </c>
    </row>
    <row r="44" spans="2:39" x14ac:dyDescent="0.3">
      <c r="B44" s="594" t="s">
        <v>80</v>
      </c>
      <c r="C44" s="595" t="s">
        <v>80</v>
      </c>
      <c r="D44" s="343"/>
      <c r="E44" s="343"/>
      <c r="F44" s="343"/>
      <c r="G44" s="343"/>
      <c r="H44" s="360">
        <f>SUM(D44:G44)</f>
        <v>0</v>
      </c>
      <c r="I44" s="343">
        <f>I38*0.5*$C$8</f>
        <v>147194.86155583471</v>
      </c>
      <c r="J44" s="343">
        <f>J38*0.5*$C$8</f>
        <v>179469.73861062535</v>
      </c>
      <c r="K44" s="343">
        <f>K38*0.5*$C$8</f>
        <v>198804.33690069828</v>
      </c>
      <c r="L44" s="343">
        <f>L38*0.5*$C$8</f>
        <v>215482.59635892222</v>
      </c>
      <c r="M44" s="366">
        <f t="shared" ref="M44:M45" si="15">SUM(I44:L44,0)</f>
        <v>740951.53342608048</v>
      </c>
      <c r="N44" s="343">
        <f>N38*0.5*$C$8</f>
        <v>223627.33912303564</v>
      </c>
      <c r="O44" s="343">
        <f>O38*0.5*$C$8</f>
        <v>229358.98034057679</v>
      </c>
      <c r="P44" s="343">
        <f>P38*0.5*$C$8</f>
        <v>236975.76874080088</v>
      </c>
      <c r="Q44" s="343">
        <f>Q38*0.5*$C$8</f>
        <v>246310.67163246428</v>
      </c>
      <c r="R44" s="366">
        <f>SUM(N44:Q44,0)</f>
        <v>936272.75983687758</v>
      </c>
      <c r="S44" s="343">
        <f>S38*0.5*$C$8</f>
        <v>251199.94737520948</v>
      </c>
      <c r="T44" s="343">
        <f>T38*0.5*$C$8</f>
        <v>256387.65852303774</v>
      </c>
      <c r="U44" s="343">
        <f>U38*0.5*$C$8</f>
        <v>265203.69353065954</v>
      </c>
      <c r="V44" s="343">
        <f>V38*0.5*$C$8</f>
        <v>277168.19599015638</v>
      </c>
      <c r="W44" s="366">
        <f>SUM(S44:V44,0)</f>
        <v>1049959.4954190631</v>
      </c>
      <c r="X44" s="343">
        <f>X38*0.5*$C$8</f>
        <v>289388.56988760899</v>
      </c>
      <c r="Y44" s="343">
        <f>Y38*0.5*$C$8</f>
        <v>304039.41995725059</v>
      </c>
      <c r="Z44" s="343">
        <f>Z38*0.5*$C$8</f>
        <v>321956.95305843779</v>
      </c>
      <c r="AA44" s="343">
        <f>AA38*0.5*$C$8</f>
        <v>343427.29011281364</v>
      </c>
      <c r="AB44" s="366">
        <f>SUM(X44:AA44,0)</f>
        <v>1258812.233016111</v>
      </c>
      <c r="AC44" s="367">
        <f>AC38*0.5*$C$8</f>
        <v>366760.79526738625</v>
      </c>
      <c r="AD44" s="343">
        <f>AD38*0.5*$C$8</f>
        <v>393329.58488436835</v>
      </c>
      <c r="AE44" s="343">
        <f>AE38*0.5*$C$8</f>
        <v>423472.20056781254</v>
      </c>
      <c r="AF44" s="343">
        <f>AF38*0.5*$C$8</f>
        <v>457297.53225897381</v>
      </c>
      <c r="AG44" s="366">
        <f>SUM(AC44:AF44,0)</f>
        <v>1640860.1129785408</v>
      </c>
    </row>
    <row r="45" spans="2:39" x14ac:dyDescent="0.3">
      <c r="B45" s="594" t="s">
        <v>81</v>
      </c>
      <c r="C45" s="595" t="s">
        <v>81</v>
      </c>
      <c r="D45" s="343"/>
      <c r="E45" s="343"/>
      <c r="F45" s="343"/>
      <c r="G45" s="343"/>
      <c r="H45" s="360"/>
      <c r="I45" s="343">
        <f>I37/1000000*20</f>
        <v>206709.29751744843</v>
      </c>
      <c r="J45" s="343">
        <f>J37/1000000*20</f>
        <v>252033.68651405151</v>
      </c>
      <c r="K45" s="343">
        <f>K37/1000000*20</f>
        <v>279185.72964978975</v>
      </c>
      <c r="L45" s="343">
        <f>L37/1000000*20</f>
        <v>302607.41203722457</v>
      </c>
      <c r="M45" s="366">
        <f t="shared" si="15"/>
        <v>1040536.1257185142</v>
      </c>
      <c r="N45" s="367">
        <f>N37/1000000*20</f>
        <v>314045.2709232943</v>
      </c>
      <c r="O45" s="343">
        <f>O37/1000000*20</f>
        <v>322094.35305277182</v>
      </c>
      <c r="P45" s="343">
        <f>P37/1000000*20</f>
        <v>332790.79288027313</v>
      </c>
      <c r="Q45" s="343">
        <f>Q37/1000000*20</f>
        <v>345900.02236514474</v>
      </c>
      <c r="R45" s="366">
        <f>SUM(R42:R44,0)</f>
        <v>1196726.1215893233</v>
      </c>
      <c r="S45" s="367">
        <f>S37/1000000*20</f>
        <v>352766.15032280167</v>
      </c>
      <c r="T45" s="343">
        <f>T37/1000000*20</f>
        <v>360051.37832435285</v>
      </c>
      <c r="U45" s="343">
        <f>U37/1000000*20</f>
        <v>372431.94911366305</v>
      </c>
      <c r="V45" s="343">
        <f>V37/1000000*20</f>
        <v>389233.98875286779</v>
      </c>
      <c r="W45" s="366">
        <f>SUM(W42:W44,0)</f>
        <v>1342038.4286998422</v>
      </c>
      <c r="X45" s="367">
        <f>X37/1000000*20</f>
        <v>406395.3548293921</v>
      </c>
      <c r="Y45" s="343">
        <f>Y37/1000000*20</f>
        <v>426969.89726870332</v>
      </c>
      <c r="Z45" s="343">
        <f>Z37/1000000*20</f>
        <v>452131.92155028548</v>
      </c>
      <c r="AA45" s="343">
        <f>AA37/1000000*20</f>
        <v>482283.23419165378</v>
      </c>
      <c r="AB45" s="366">
        <f>SUM(AB42:AB44,0)</f>
        <v>1608989.9552553948</v>
      </c>
      <c r="AC45" s="367">
        <f>AC37/1000000*20</f>
        <v>515051.03877491271</v>
      </c>
      <c r="AD45" s="343">
        <f>AD37/1000000*20</f>
        <v>552362.23143181123</v>
      </c>
      <c r="AE45" s="343">
        <f>AE37/1000000*20</f>
        <v>594692.23430966097</v>
      </c>
      <c r="AF45" s="343">
        <f>AF37/1000000*20</f>
        <v>642193.96418168093</v>
      </c>
      <c r="AG45" s="366">
        <f>SUM(AG42:AG44,0)</f>
        <v>2097316.5357696451</v>
      </c>
    </row>
    <row r="46" spans="2:39" ht="15" thickBot="1" x14ac:dyDescent="0.35">
      <c r="B46" s="616" t="s">
        <v>232</v>
      </c>
      <c r="C46" s="595"/>
      <c r="D46" s="343"/>
      <c r="E46" s="343"/>
      <c r="F46" s="343"/>
      <c r="G46" s="343"/>
      <c r="H46" s="360"/>
      <c r="I46" s="343">
        <f>INDEX('User Data SwipeStox'!$A$1:$OS$9988,MATCH("Copied volume",'User Data SwipeStox'!$A:$A,0),MATCH(I$15,'User Data SwipeStox'!$4:$4,0))*Dashboard!$B$27</f>
        <v>124025.67212240001</v>
      </c>
      <c r="J46" s="343">
        <f>INDEX('User Data SwipeStox'!$A$1:$OS$9988,MATCH("Copied volume",'User Data SwipeStox'!$A:$A,0),MATCH(J$15,'User Data SwipeStox'!$4:$4,0))*Dashboard!$B$27</f>
        <v>151220.3340032</v>
      </c>
      <c r="K46" s="343">
        <f>INDEX('User Data SwipeStox'!$A$1:$OS$9988,MATCH("Copied volume",'User Data SwipeStox'!$A:$A,0),MATCH(K$15,'User Data SwipeStox'!$4:$4,0))*Dashboard!$B$27</f>
        <v>167511.5451048</v>
      </c>
      <c r="L46" s="343">
        <f>INDEX('User Data SwipeStox'!$A$1:$OS$9988,MATCH("Copied volume",'User Data SwipeStox'!$A:$A,0),MATCH(L$15,'User Data SwipeStox'!$4:$4,0))*Dashboard!$B$27</f>
        <v>181564.4110508</v>
      </c>
      <c r="M46" s="366">
        <f>SUM(I46:L46,0)</f>
        <v>624321.96228119999</v>
      </c>
      <c r="N46" s="343">
        <f>INDEX('User Data SwipeStox'!$A$1:$OS$9988,MATCH("Copied volume",'User Data SwipeStox'!$A:$A,0),MATCH(N$15,'User Data SwipeStox'!$4:$4,0))*Dashboard!$B$27</f>
        <v>188427.2576864</v>
      </c>
      <c r="O46" s="343">
        <f>INDEX('User Data SwipeStox'!$A$1:$OS$9988,MATCH("Copied volume",'User Data SwipeStox'!$A:$A,0),MATCH(O$15,'User Data SwipeStox'!$4:$4,0))*Dashboard!$B$27</f>
        <v>193256.62026000003</v>
      </c>
      <c r="P46" s="343">
        <f>INDEX('User Data SwipeStox'!$A$1:$OS$9988,MATCH("Copied volume",'User Data SwipeStox'!$A:$A,0),MATCH(P$15,'User Data SwipeStox'!$4:$4,0))*Dashboard!$B$27</f>
        <v>199674.30460360003</v>
      </c>
      <c r="Q46" s="343">
        <f>INDEX('User Data SwipeStox'!$A$1:$OS$9988,MATCH("Copied volume",'User Data SwipeStox'!$A:$A,0),MATCH(Q$15,'User Data SwipeStox'!$4:$4,0))*Dashboard!$B$27</f>
        <v>207539.84688720008</v>
      </c>
      <c r="R46" s="366">
        <f>SUM(N46:Q46,0)</f>
        <v>788898.02943720017</v>
      </c>
      <c r="S46" s="343">
        <f>INDEX('User Data SwipeStox'!$A$1:$OS$9988,MATCH("Copied volume",'User Data SwipeStox'!$A:$A,0),MATCH(S$15,'User Data SwipeStox'!$4:$4,0))*Dashboard!$B$27</f>
        <v>211659.542972</v>
      </c>
      <c r="T46" s="343">
        <f>INDEX('User Data SwipeStox'!$A$1:$OS$9988,MATCH("Copied volume",'User Data SwipeStox'!$A:$A,0),MATCH(T$15,'User Data SwipeStox'!$4:$4,0))*Dashboard!$B$27</f>
        <v>216030.77736160005</v>
      </c>
      <c r="U46" s="343">
        <f>INDEX('User Data SwipeStox'!$A$1:$OS$9988,MATCH("Copied volume",'User Data SwipeStox'!$A:$A,0),MATCH(U$15,'User Data SwipeStox'!$4:$4,0))*Dashboard!$B$27</f>
        <v>223459.36908480001</v>
      </c>
      <c r="V46" s="343">
        <f>INDEX('User Data SwipeStox'!$A$1:$OS$9988,MATCH("Copied volume",'User Data SwipeStox'!$A:$A,0),MATCH(V$15,'User Data SwipeStox'!$4:$4,0))*Dashboard!$B$27</f>
        <v>233540.35011480007</v>
      </c>
      <c r="W46" s="366">
        <f>SUM(S46:V46,0)</f>
        <v>884690.03953320009</v>
      </c>
      <c r="X46" s="343">
        <f>INDEX('User Data SwipeStox'!$A$1:$OS$9988,MATCH("Copied volume",'User Data SwipeStox'!$A:$A,0),MATCH(X$15,'User Data SwipeStox'!$4:$4,0))*Dashboard!$B$27</f>
        <v>243836.99714840003</v>
      </c>
      <c r="Y46" s="343">
        <f>INDEX('User Data SwipeStox'!$A$1:$OS$9988,MATCH("Copied volume",'User Data SwipeStox'!$A:$A,0),MATCH(Y$15,'User Data SwipeStox'!$4:$4,0))*Dashboard!$B$27</f>
        <v>256181.82292160005</v>
      </c>
      <c r="Z46" s="343">
        <f>INDEX('User Data SwipeStox'!$A$1:$OS$9988,MATCH("Copied volume",'User Data SwipeStox'!$A:$A,0),MATCH(Z$15,'User Data SwipeStox'!$4:$4,0))*Dashboard!$B$27</f>
        <v>271279.30756640004</v>
      </c>
      <c r="AA46" s="343">
        <f>INDEX('User Data SwipeStox'!$A$1:$OS$9988,MATCH("Copied volume",'User Data SwipeStox'!$A:$A,0),MATCH(AA$15,'User Data SwipeStox'!$4:$4,0))*Dashboard!$B$27</f>
        <v>289369.75228120002</v>
      </c>
      <c r="AB46" s="366">
        <f>SUM(X46:AA46,0)</f>
        <v>1060667.8799176002</v>
      </c>
      <c r="AC46" s="343">
        <f>INDEX('User Data SwipeStox'!$A$1:$OS$9988,MATCH("Copied volume",'User Data SwipeStox'!$A:$A,0),MATCH(AC$15,'User Data SwipeStox'!$4:$4,0))*Dashboard!$B$27</f>
        <v>309030.79871359997</v>
      </c>
      <c r="AD46" s="343">
        <f>INDEX('User Data SwipeStox'!$A$1:$OS$9988,MATCH("Copied volume",'User Data SwipeStox'!$A:$A,0),MATCH(AD$15,'User Data SwipeStox'!$4:$4,0))*Dashboard!$B$27</f>
        <v>331417.27564440004</v>
      </c>
      <c r="AE46" s="343">
        <f>INDEX('User Data SwipeStox'!$A$1:$OS$9988,MATCH("Copied volume",'User Data SwipeStox'!$A:$A,0),MATCH(AE$15,'User Data SwipeStox'!$4:$4,0))*Dashboard!$B$27</f>
        <v>356815.29709040001</v>
      </c>
      <c r="AF46" s="343">
        <f>INDEX('User Data SwipeStox'!$A$1:$OS$9988,MATCH("Copied volume",'User Data SwipeStox'!$A:$A,0),MATCH(AF$15,'User Data SwipeStox'!$4:$4,0))*Dashboard!$B$27</f>
        <v>385316.48868840007</v>
      </c>
      <c r="AG46" s="366">
        <f>SUM(AC46:AF46,0)</f>
        <v>1382579.8601368</v>
      </c>
      <c r="AI46" s="18"/>
    </row>
    <row r="47" spans="2:39" ht="15" thickBot="1" x14ac:dyDescent="0.35">
      <c r="B47" s="437" t="s">
        <v>92</v>
      </c>
      <c r="C47" s="438"/>
      <c r="D47" s="439"/>
      <c r="E47" s="439"/>
      <c r="F47" s="439"/>
      <c r="G47" s="439"/>
      <c r="H47" s="440">
        <f>SUM(D47:G47)</f>
        <v>0</v>
      </c>
      <c r="I47" s="441">
        <f>SUM(I43:I46,0)</f>
        <v>518876.69890548155</v>
      </c>
      <c r="J47" s="441">
        <f t="shared" ref="J47:L47" si="16">SUM(J43:J46,0)</f>
        <v>632648.89886305784</v>
      </c>
      <c r="K47" s="441">
        <f t="shared" si="16"/>
        <v>700805.2674218216</v>
      </c>
      <c r="L47" s="441">
        <f t="shared" si="16"/>
        <v>759597.60534452065</v>
      </c>
      <c r="M47" s="440">
        <f>SUM(M43:M46,0)</f>
        <v>2611928.4705348816</v>
      </c>
      <c r="N47" s="441">
        <f>SUM(N43:N46,0)</f>
        <v>788308.81094080012</v>
      </c>
      <c r="O47" s="441">
        <f t="shared" ref="O47" si="17">SUM(O43:O46,0)</f>
        <v>808513.30281818472</v>
      </c>
      <c r="P47" s="441">
        <f t="shared" ref="P47" si="18">SUM(P43:P46,0)</f>
        <v>835363.00311566168</v>
      </c>
      <c r="Q47" s="441">
        <f t="shared" ref="Q47" si="19">SUM(Q43:Q46,0)</f>
        <v>868269.47337336093</v>
      </c>
      <c r="R47" s="440">
        <f>SUM(R43:R46,0)</f>
        <v>3182350.2726158467</v>
      </c>
      <c r="S47" s="441">
        <f>SUM(S43:S46,0)</f>
        <v>885504.68391387828</v>
      </c>
      <c r="T47" s="441">
        <f t="shared" ref="T47" si="20">SUM(T43:T46,0)</f>
        <v>903792.01315777365</v>
      </c>
      <c r="U47" s="441">
        <f t="shared" ref="U47" si="21">SUM(U43:U46,0)</f>
        <v>934869.74778054503</v>
      </c>
      <c r="V47" s="441">
        <f t="shared" ref="V47" si="22">SUM(V43:V46,0)</f>
        <v>977045.48989453074</v>
      </c>
      <c r="W47" s="440">
        <f>SUM(W43:W46,0)</f>
        <v>3568766.8969328846</v>
      </c>
      <c r="X47" s="441">
        <f>SUM(X43:X46,0)</f>
        <v>1020123.2976568948</v>
      </c>
      <c r="Y47" s="441">
        <f t="shared" ref="Y47" si="23">SUM(Y43:Y46,0)</f>
        <v>1071769.1394707377</v>
      </c>
      <c r="Z47" s="441">
        <f>SUM(Z43:Z46,0)</f>
        <v>1134930.5907413485</v>
      </c>
      <c r="AA47" s="441">
        <f t="shared" ref="AA47" si="24">SUM(AA43:AA46,0)</f>
        <v>1210615.2151440489</v>
      </c>
      <c r="AB47" s="440">
        <f>SUM(AB43:AB46,0)</f>
        <v>4278647.7904283898</v>
      </c>
      <c r="AC47" s="441">
        <f>SUM(AC43:AC46,0)</f>
        <v>1292868.6328302315</v>
      </c>
      <c r="AD47" s="441">
        <f t="shared" ref="AD47" si="25">SUM(AD43:AD46,0)</f>
        <v>1386525.9498604541</v>
      </c>
      <c r="AE47" s="441">
        <f t="shared" ref="AE47" si="26">SUM(AE43:AE46,0)</f>
        <v>1492781.7040658281</v>
      </c>
      <c r="AF47" s="441">
        <f t="shared" ref="AF47" si="27">SUM(AF43:AF46,0)</f>
        <v>1612019.5778479981</v>
      </c>
      <c r="AG47" s="440">
        <f>SUM(AG43:AG46,0)</f>
        <v>5577212.9316760898</v>
      </c>
    </row>
    <row r="48" spans="2:39" x14ac:dyDescent="0.3">
      <c r="B48" s="594" t="s">
        <v>164</v>
      </c>
      <c r="C48" s="617"/>
      <c r="D48" s="362"/>
      <c r="E48" s="362"/>
      <c r="F48" s="362"/>
      <c r="G48" s="362"/>
      <c r="H48" s="346"/>
      <c r="I48" s="449">
        <f>I47/$C$3*I17</f>
        <v>1.1415287375920595E-2</v>
      </c>
      <c r="J48" s="449">
        <f>J47/$C$3*J17</f>
        <v>1.3918275774987273E-2</v>
      </c>
      <c r="K48" s="449">
        <f>K47/$C$3*K17</f>
        <v>1.5417715883280076E-2</v>
      </c>
      <c r="L48" s="449">
        <f>L47/$C$3*L17</f>
        <v>1.6711147317579455E-2</v>
      </c>
      <c r="M48" s="450">
        <f>SUM(I48:L48)</f>
        <v>5.7462426351767404E-2</v>
      </c>
      <c r="N48" s="449">
        <f>N47/$C$3*N17</f>
        <v>1.7342793840697604E-2</v>
      </c>
      <c r="O48" s="449">
        <f>O47/$C$3*O17</f>
        <v>1.7787292662000066E-2</v>
      </c>
      <c r="P48" s="449">
        <f>P47/$C$3*P17</f>
        <v>1.8377986068544558E-2</v>
      </c>
      <c r="Q48" s="449">
        <f>Q47/$C$3*Q17</f>
        <v>1.9101928414213942E-2</v>
      </c>
      <c r="R48" s="450">
        <f>SUM(N48:Q48)</f>
        <v>7.2610000985456169E-2</v>
      </c>
      <c r="S48" s="449">
        <f>S47/$C$3*S17</f>
        <v>1.9481103046105324E-2</v>
      </c>
      <c r="T48" s="449">
        <f>T47/$C$3*T17</f>
        <v>1.9883424289471024E-2</v>
      </c>
      <c r="U48" s="449">
        <f>U47/$C$3*U17</f>
        <v>2.0567134451171993E-2</v>
      </c>
      <c r="V48" s="449">
        <f>V47/$C$3*V17</f>
        <v>2.1495000777679681E-2</v>
      </c>
      <c r="W48" s="450">
        <f>SUM(S48:V48)</f>
        <v>8.1426662564428029E-2</v>
      </c>
      <c r="X48" s="449">
        <f>X47/$C$3*X17</f>
        <v>2.2442712548451687E-2</v>
      </c>
      <c r="Y48" s="449">
        <f>Y47/$C$3*Y17</f>
        <v>2.357892106835623E-2</v>
      </c>
      <c r="Z48" s="449">
        <f>Z47/$C$3*Z17</f>
        <v>2.4968472996309669E-2</v>
      </c>
      <c r="AA48" s="449">
        <f>AA47/$C$3*AA17</f>
        <v>2.6633534733169078E-2</v>
      </c>
      <c r="AB48" s="450">
        <f>SUM(X48:AA48)</f>
        <v>9.7623641346286663E-2</v>
      </c>
      <c r="AC48" s="449">
        <f>AC47/$C$3*AC17</f>
        <v>2.8443109922265095E-2</v>
      </c>
      <c r="AD48" s="449">
        <f>AD47/$C$3*AD17</f>
        <v>3.0503570896929989E-2</v>
      </c>
      <c r="AE48" s="449">
        <f>AE47/$C$3*AE17</f>
        <v>3.2841197489448221E-2</v>
      </c>
      <c r="AF48" s="449">
        <f>AF47/$C$3*AF17</f>
        <v>3.546443071265596E-2</v>
      </c>
      <c r="AG48" s="450">
        <f>SUM(AC48:AF48)</f>
        <v>0.12725230902129928</v>
      </c>
    </row>
    <row r="49" spans="2:37" x14ac:dyDescent="0.3">
      <c r="B49" s="596"/>
      <c r="C49" s="628"/>
      <c r="D49" s="368"/>
      <c r="E49" s="368"/>
      <c r="F49" s="368"/>
      <c r="G49" s="368"/>
      <c r="H49" s="369"/>
      <c r="I49" s="370"/>
      <c r="J49" s="370"/>
      <c r="K49" s="370"/>
      <c r="L49" s="370"/>
      <c r="M49" s="371"/>
      <c r="N49" s="370"/>
      <c r="O49" s="370"/>
      <c r="P49" s="370"/>
      <c r="Q49" s="370"/>
      <c r="R49" s="371"/>
      <c r="S49" s="370"/>
      <c r="T49" s="370"/>
      <c r="U49" s="370"/>
      <c r="V49" s="370"/>
      <c r="W49" s="371"/>
      <c r="X49" s="370"/>
      <c r="Y49" s="370"/>
      <c r="Z49" s="370"/>
      <c r="AA49" s="370"/>
      <c r="AB49" s="371"/>
      <c r="AC49" s="372"/>
      <c r="AD49" s="370"/>
      <c r="AE49" s="370"/>
      <c r="AF49" s="370"/>
      <c r="AG49" s="371"/>
    </row>
    <row r="50" spans="2:37" x14ac:dyDescent="0.3">
      <c r="C50" s="317"/>
      <c r="D50" s="317"/>
      <c r="E50" s="317"/>
      <c r="F50" s="373"/>
      <c r="G50" s="317"/>
      <c r="H50" s="317"/>
      <c r="I50" s="343"/>
      <c r="J50" s="374"/>
      <c r="K50" s="374"/>
      <c r="L50" s="374"/>
      <c r="M50" s="374"/>
      <c r="N50" s="343"/>
      <c r="O50" s="343"/>
      <c r="P50" s="343"/>
      <c r="Q50" s="343"/>
      <c r="R50" s="343"/>
      <c r="S50" s="343"/>
      <c r="T50" s="343"/>
      <c r="U50" s="343"/>
      <c r="V50" s="343"/>
      <c r="W50" s="343"/>
      <c r="X50" s="343"/>
      <c r="Y50" s="343"/>
      <c r="Z50" s="343"/>
      <c r="AA50" s="343"/>
      <c r="AB50" s="343"/>
      <c r="AC50" s="343"/>
      <c r="AD50" s="343"/>
      <c r="AE50" s="343"/>
      <c r="AF50" s="343"/>
      <c r="AG50" s="343"/>
    </row>
    <row r="51" spans="2:37" ht="21" x14ac:dyDescent="0.4">
      <c r="B51" s="598" t="s">
        <v>75</v>
      </c>
      <c r="C51" s="599"/>
      <c r="D51" s="599"/>
      <c r="E51" s="599"/>
      <c r="F51" s="599"/>
      <c r="G51" s="599"/>
      <c r="H51" s="599"/>
      <c r="I51" s="600"/>
      <c r="J51" s="599"/>
      <c r="K51" s="599"/>
      <c r="L51" s="599"/>
      <c r="M51" s="599"/>
      <c r="N51" s="600"/>
      <c r="O51" s="599"/>
      <c r="P51" s="599"/>
      <c r="Q51" s="599"/>
      <c r="R51" s="599"/>
      <c r="S51" s="599"/>
      <c r="T51" s="599"/>
      <c r="U51" s="599"/>
      <c r="V51" s="599"/>
      <c r="W51" s="599"/>
      <c r="X51" s="599"/>
      <c r="Y51" s="599"/>
      <c r="Z51" s="599"/>
      <c r="AA51" s="599"/>
      <c r="AB51" s="599"/>
      <c r="AC51" s="599"/>
      <c r="AD51" s="599"/>
      <c r="AE51" s="599"/>
      <c r="AF51" s="599"/>
      <c r="AG51" s="601"/>
    </row>
    <row r="52" spans="2:37" s="317" customFormat="1" ht="4.5" customHeight="1" x14ac:dyDescent="0.4">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row>
    <row r="53" spans="2:37" x14ac:dyDescent="0.3">
      <c r="B53" s="612" t="s">
        <v>118</v>
      </c>
      <c r="C53" s="613" t="s">
        <v>88</v>
      </c>
      <c r="D53" s="375"/>
      <c r="E53" s="376"/>
      <c r="F53" s="376"/>
      <c r="G53" s="355">
        <f>INDEX('User Data Switex'!$A$1:$CN$9997,MATCH($B53,'User Data Switex'!$A:$A,0),MATCH(G$15,'User Data Switex'!$4:$4,0))</f>
        <v>0</v>
      </c>
      <c r="H53" s="356">
        <f>SUM(D53:G53)</f>
        <v>0</v>
      </c>
      <c r="I53" s="355">
        <f>'User Data Switex'!BP7</f>
        <v>525</v>
      </c>
      <c r="J53" s="355">
        <f>'User Data Switex'!BQ7</f>
        <v>31014</v>
      </c>
      <c r="K53" s="355">
        <f>'User Data Switex'!BR7</f>
        <v>65925</v>
      </c>
      <c r="L53" s="355">
        <f>'User Data Switex'!BS7</f>
        <v>86625</v>
      </c>
      <c r="M53" s="356">
        <f>SUM(I53:L53)</f>
        <v>184089</v>
      </c>
      <c r="N53" s="355">
        <f>'User Data Switex'!BU7</f>
        <v>92499</v>
      </c>
      <c r="O53" s="355">
        <f>'User Data Switex'!BV7</f>
        <v>159248.99999999994</v>
      </c>
      <c r="P53" s="355">
        <f>'User Data Switex'!BW7</f>
        <v>221749</v>
      </c>
      <c r="Q53" s="355">
        <f>'User Data Switex'!BX7</f>
        <v>228749</v>
      </c>
      <c r="R53" s="356">
        <f>SUM(N53:Q53)</f>
        <v>702246</v>
      </c>
      <c r="S53" s="355">
        <f>'User Data Switex'!BZ7</f>
        <v>279064</v>
      </c>
      <c r="T53" s="355">
        <f>'User Data Switex'!CA7</f>
        <v>276926.9060513213</v>
      </c>
      <c r="U53" s="355">
        <f>'User Data Switex'!CB7</f>
        <v>299959.87938988052</v>
      </c>
      <c r="V53" s="355">
        <f>'User Data Switex'!CC7</f>
        <v>380988.37854039762</v>
      </c>
      <c r="W53" s="356">
        <f>SUM(S53:V53)</f>
        <v>1236939.1639815995</v>
      </c>
      <c r="X53" s="355">
        <f>'User Data Switex'!CE7</f>
        <v>487170.63476679265</v>
      </c>
      <c r="Y53" s="355">
        <f>'User Data Switex'!CF7</f>
        <v>623063.53967340477</v>
      </c>
      <c r="Z53" s="355">
        <f>'User Data Switex'!CG7</f>
        <v>799048.79242171021</v>
      </c>
      <c r="AA53" s="355">
        <f>'User Data Switex'!CH7</f>
        <v>1026954.7983030942</v>
      </c>
      <c r="AB53" s="356">
        <f>SUM(X53:AA53)</f>
        <v>2936237.7651650021</v>
      </c>
      <c r="AC53" s="355">
        <f>'User Data Switex'!CJ7</f>
        <v>1320536.6851936576</v>
      </c>
      <c r="AD53" s="355">
        <f>'User Data Switex'!CK7</f>
        <v>830276.07855909655</v>
      </c>
      <c r="AE53" s="355">
        <f>'User Data Switex'!CL7</f>
        <v>1067856.169769309</v>
      </c>
      <c r="AF53" s="355">
        <f>'User Data Switex'!CM7</f>
        <v>1375529.2777091772</v>
      </c>
      <c r="AG53" s="356">
        <f>SUM(AC53:AF53)</f>
        <v>4594198.211231241</v>
      </c>
      <c r="AI53" s="317"/>
      <c r="AJ53" s="317"/>
      <c r="AK53" s="317"/>
    </row>
    <row r="54" spans="2:37" x14ac:dyDescent="0.3">
      <c r="B54" s="594" t="s">
        <v>172</v>
      </c>
      <c r="C54" s="604" t="s">
        <v>89</v>
      </c>
      <c r="D54" s="377"/>
      <c r="E54" s="317"/>
      <c r="F54" s="317"/>
      <c r="G54" s="344">
        <v>1050</v>
      </c>
      <c r="H54" s="346">
        <f>G54</f>
        <v>1050</v>
      </c>
      <c r="I54" s="344">
        <f>'User Data Switex'!BP10</f>
        <v>525</v>
      </c>
      <c r="J54" s="344">
        <f>'User Data Switex'!BQ10</f>
        <v>31539</v>
      </c>
      <c r="K54" s="344">
        <f>'User Data Switex'!BR10</f>
        <v>97464</v>
      </c>
      <c r="L54" s="344">
        <f>'User Data Switex'!BS10</f>
        <v>184089</v>
      </c>
      <c r="M54" s="346">
        <f>L54</f>
        <v>184089</v>
      </c>
      <c r="N54" s="344">
        <f>'User Data Switex'!BU10</f>
        <v>276588</v>
      </c>
      <c r="O54" s="344">
        <f>'User Data Switex'!BV10</f>
        <v>435836.99999999994</v>
      </c>
      <c r="P54" s="344">
        <f>'User Data Switex'!BW10</f>
        <v>657586</v>
      </c>
      <c r="Q54" s="344">
        <f>'User Data Switex'!BX10</f>
        <v>886335</v>
      </c>
      <c r="R54" s="346">
        <f>Q54</f>
        <v>886335</v>
      </c>
      <c r="S54" s="344">
        <f>'User Data Switex'!BZ10</f>
        <v>1165399</v>
      </c>
      <c r="T54" s="344">
        <f>'User Data Switex'!CA10</f>
        <v>1442325.9060513214</v>
      </c>
      <c r="U54" s="344">
        <f>'User Data Switex'!CB10</f>
        <v>1742285.7854412019</v>
      </c>
      <c r="V54" s="344">
        <f>'User Data Switex'!CC10</f>
        <v>2123274.1639815997</v>
      </c>
      <c r="W54" s="346">
        <f>V54</f>
        <v>2123274.1639815997</v>
      </c>
      <c r="X54" s="344">
        <f>'User Data Switex'!CE10</f>
        <v>2610444.7987483926</v>
      </c>
      <c r="Y54" s="344">
        <f>'User Data Switex'!CF10</f>
        <v>3233508.3384217974</v>
      </c>
      <c r="Z54" s="344">
        <f>'User Data Switex'!CG10</f>
        <v>4032557.1308435076</v>
      </c>
      <c r="AA54" s="344">
        <f>'User Data Switex'!CH10</f>
        <v>5059511.9291466018</v>
      </c>
      <c r="AB54" s="346">
        <f>AA54</f>
        <v>5059511.9291466018</v>
      </c>
      <c r="AC54" s="344">
        <f>'User Data Switex'!CJ10</f>
        <v>6380048.6143402597</v>
      </c>
      <c r="AD54" s="344">
        <f>'User Data Switex'!CK10</f>
        <v>7210324.6928993566</v>
      </c>
      <c r="AE54" s="344">
        <f>'User Data Switex'!CL10</f>
        <v>8278180.8626686651</v>
      </c>
      <c r="AF54" s="344">
        <f>'User Data Switex'!CM10</f>
        <v>9653710.1403778419</v>
      </c>
      <c r="AG54" s="346">
        <f>AF54</f>
        <v>9653710.1403778419</v>
      </c>
      <c r="AI54" s="317"/>
      <c r="AJ54" s="317"/>
      <c r="AK54" s="317"/>
    </row>
    <row r="55" spans="2:37" x14ac:dyDescent="0.3">
      <c r="B55" s="605" t="s">
        <v>20</v>
      </c>
      <c r="C55" s="633" t="s">
        <v>20</v>
      </c>
      <c r="D55" s="347"/>
      <c r="E55" s="344"/>
      <c r="F55" s="344"/>
      <c r="G55" s="344">
        <v>1050</v>
      </c>
      <c r="H55" s="346">
        <f>AVERAGE(D55:G55)</f>
        <v>1050</v>
      </c>
      <c r="I55" s="344">
        <f>'User Data Switex'!BP11</f>
        <v>175</v>
      </c>
      <c r="J55" s="344">
        <f>'User Data Switex'!BQ11</f>
        <v>17603.153333333335</v>
      </c>
      <c r="K55" s="344">
        <f>'User Data Switex'!BR11</f>
        <v>32267.752640000002</v>
      </c>
      <c r="L55" s="344">
        <f>'User Data Switex'!BS11</f>
        <v>39626.110685013344</v>
      </c>
      <c r="M55" s="346">
        <f>AVERAGE(I55:L55)</f>
        <v>22418.004164586673</v>
      </c>
      <c r="N55" s="344">
        <f>'User Data Switex'!BU11</f>
        <v>60100.208670726832</v>
      </c>
      <c r="O55" s="344">
        <f>'User Data Switex'!BV11</f>
        <v>83913.826839412141</v>
      </c>
      <c r="P55" s="344">
        <f>'User Data Switex'!BW11</f>
        <v>95579</v>
      </c>
      <c r="Q55" s="344">
        <f>'User Data Switex'!BX11</f>
        <v>146135</v>
      </c>
      <c r="R55" s="346">
        <f>AVERAGE(N55:Q55)</f>
        <v>96432.008877534739</v>
      </c>
      <c r="S55" s="344">
        <f>'User Data Switex'!BZ11</f>
        <v>144445.66666666666</v>
      </c>
      <c r="T55" s="344">
        <f>'User Data Switex'!CA11</f>
        <v>142748.33333333334</v>
      </c>
      <c r="U55" s="344">
        <f>'User Data Switex'!CB11</f>
        <v>141818</v>
      </c>
      <c r="V55" s="344">
        <f>'User Data Switex'!CC11</f>
        <v>141341.33333333334</v>
      </c>
      <c r="W55" s="346">
        <f>AVERAGE(S55:V55)</f>
        <v>142588.33333333334</v>
      </c>
      <c r="X55" s="344">
        <f>'User Data Switex'!CE11</f>
        <v>191824</v>
      </c>
      <c r="Y55" s="344">
        <f>'User Data Switex'!CF11</f>
        <v>192389.33333333334</v>
      </c>
      <c r="Z55" s="344">
        <f>'User Data Switex'!CG11</f>
        <v>192727.33333333334</v>
      </c>
      <c r="AA55" s="344">
        <f>'User Data Switex'!CH11</f>
        <v>259567.66666666666</v>
      </c>
      <c r="AB55" s="346">
        <f>AVERAGE(X55:AA55)</f>
        <v>209127.08333333334</v>
      </c>
      <c r="AC55" s="344">
        <f>'User Data Switex'!CJ11</f>
        <v>292079.33333333331</v>
      </c>
      <c r="AD55" s="344">
        <f>'User Data Switex'!CK11</f>
        <v>507953.66666666669</v>
      </c>
      <c r="AE55" s="344">
        <f>'User Data Switex'!CL11</f>
        <v>959422.12674026762</v>
      </c>
      <c r="AF55" s="344">
        <f>'User Data Switex'!CM11</f>
        <v>1534637.4229118768</v>
      </c>
      <c r="AG55" s="346">
        <f>AVERAGE(AC55:AF55)</f>
        <v>823523.13741303608</v>
      </c>
      <c r="AI55" s="317"/>
      <c r="AJ55" s="317"/>
      <c r="AK55" s="317"/>
    </row>
    <row r="56" spans="2:37" x14ac:dyDescent="0.3">
      <c r="B56" s="594" t="s">
        <v>82</v>
      </c>
      <c r="C56" s="604" t="s">
        <v>82</v>
      </c>
      <c r="D56" s="377"/>
      <c r="E56" s="317"/>
      <c r="F56" s="317"/>
      <c r="G56" s="344"/>
      <c r="H56" s="346">
        <f>SUM(D56:G56)</f>
        <v>0</v>
      </c>
      <c r="I56" s="344">
        <f>'User Data Switex'!BP14</f>
        <v>1071</v>
      </c>
      <c r="J56" s="344">
        <f>'User Data Switex'!BQ14</f>
        <v>109886</v>
      </c>
      <c r="K56" s="344">
        <f>'User Data Switex'!BR14</f>
        <v>201428</v>
      </c>
      <c r="L56" s="344">
        <f>'User Data Switex'!BS14</f>
        <v>247362</v>
      </c>
      <c r="M56" s="346">
        <f>SUM(I56:L56)</f>
        <v>559747</v>
      </c>
      <c r="N56" s="344">
        <f>'User Data Switex'!BU14</f>
        <v>375169</v>
      </c>
      <c r="O56" s="344">
        <f>'User Data Switex'!BV14</f>
        <v>523823</v>
      </c>
      <c r="P56" s="344">
        <f>'User Data Switex'!BW14</f>
        <v>596642</v>
      </c>
      <c r="Q56" s="344">
        <f>'User Data Switex'!BX14</f>
        <v>912234</v>
      </c>
      <c r="R56" s="346">
        <f>SUM(N56:Q56)</f>
        <v>2407868</v>
      </c>
      <c r="S56" s="344">
        <f>'User Data Switex'!BZ14</f>
        <v>901688</v>
      </c>
      <c r="T56" s="344">
        <f>'User Data Switex'!CA14</f>
        <v>891092</v>
      </c>
      <c r="U56" s="344">
        <f>'User Data Switex'!CB14</f>
        <v>885285</v>
      </c>
      <c r="V56" s="344">
        <f>'User Data Switex'!CC14</f>
        <v>882310</v>
      </c>
      <c r="W56" s="346">
        <f>SUM(S56:V56)</f>
        <v>3560375</v>
      </c>
      <c r="X56" s="344">
        <f>'User Data Switex'!CE14</f>
        <v>1197442</v>
      </c>
      <c r="Y56" s="344">
        <f>'User Data Switex'!CF14</f>
        <v>1200971</v>
      </c>
      <c r="Z56" s="344">
        <f>'User Data Switex'!CG14</f>
        <v>1203081</v>
      </c>
      <c r="AA56" s="344">
        <f>'User Data Switex'!CH14</f>
        <v>1620326</v>
      </c>
      <c r="AB56" s="346">
        <f>SUM(X56:AA56)</f>
        <v>5221820</v>
      </c>
      <c r="AC56" s="344">
        <f>'User Data Switex'!CJ14</f>
        <v>1823276</v>
      </c>
      <c r="AD56" s="344">
        <f>'User Data Switex'!CK14</f>
        <v>3170850</v>
      </c>
      <c r="AE56" s="344">
        <f>'User Data Switex'!CL14</f>
        <v>5989097</v>
      </c>
      <c r="AF56" s="344">
        <f>'User Data Switex'!CM14</f>
        <v>9579820</v>
      </c>
      <c r="AG56" s="346">
        <v>149181843</v>
      </c>
      <c r="AI56" s="317"/>
      <c r="AJ56" s="317"/>
      <c r="AK56" s="317"/>
    </row>
    <row r="57" spans="2:37" ht="15" thickBot="1" x14ac:dyDescent="0.35">
      <c r="B57" s="594" t="s">
        <v>124</v>
      </c>
      <c r="C57" s="604" t="s">
        <v>83</v>
      </c>
      <c r="D57" s="377"/>
      <c r="E57" s="317"/>
      <c r="F57" s="317"/>
      <c r="G57" s="343">
        <v>8400</v>
      </c>
      <c r="H57" s="360">
        <f>SUM(D57:G57)</f>
        <v>8400</v>
      </c>
      <c r="I57" s="343">
        <f>'User Data Switex'!BP15</f>
        <v>5250</v>
      </c>
      <c r="J57" s="343">
        <f>'User Data Switex'!BQ15</f>
        <v>528094.60000000009</v>
      </c>
      <c r="K57" s="343">
        <f>'User Data Switex'!BR15</f>
        <v>968032.57920000004</v>
      </c>
      <c r="L57" s="343">
        <f>'User Data Switex'!BS15</f>
        <v>1188783.3205504001</v>
      </c>
      <c r="M57" s="360">
        <f>SUM(I57:L57)</f>
        <v>2690160.4997504</v>
      </c>
      <c r="N57" s="343">
        <f>'User Data Switex'!BU15</f>
        <v>1803006.2601218049</v>
      </c>
      <c r="O57" s="343">
        <f>'User Data Switex'!BV15</f>
        <v>2517414.8051823643</v>
      </c>
      <c r="P57" s="343">
        <f>'User Data Switex'!BW15</f>
        <v>2867370</v>
      </c>
      <c r="Q57" s="343">
        <f>'User Data Switex'!BX15</f>
        <v>4384050</v>
      </c>
      <c r="R57" s="360">
        <f>SUM(N57:Q57)</f>
        <v>11571841.065304169</v>
      </c>
      <c r="S57" s="343">
        <f>'User Data Switex'!BZ15</f>
        <v>4333370</v>
      </c>
      <c r="T57" s="343">
        <f>'User Data Switex'!CA15</f>
        <v>4282450</v>
      </c>
      <c r="U57" s="343">
        <f>'User Data Switex'!CB15</f>
        <v>4254540</v>
      </c>
      <c r="V57" s="343">
        <f>'User Data Switex'!CC15</f>
        <v>4240240</v>
      </c>
      <c r="W57" s="360">
        <f>SUM(S57:V57)</f>
        <v>17110600</v>
      </c>
      <c r="X57" s="343">
        <f>'User Data Switex'!CE15</f>
        <v>5754720</v>
      </c>
      <c r="Y57" s="343">
        <f>'User Data Switex'!CF15</f>
        <v>5771680</v>
      </c>
      <c r="Z57" s="343">
        <f>'User Data Switex'!CG15</f>
        <v>5781820</v>
      </c>
      <c r="AA57" s="343">
        <f>'User Data Switex'!CH15</f>
        <v>7787030</v>
      </c>
      <c r="AB57" s="360">
        <f>SUM(X57:AA57)</f>
        <v>25095250</v>
      </c>
      <c r="AC57" s="343">
        <f>'User Data Switex'!CJ15</f>
        <v>8762380</v>
      </c>
      <c r="AD57" s="343">
        <f>'User Data Switex'!CK15</f>
        <v>15238610</v>
      </c>
      <c r="AE57" s="343">
        <f>'User Data Switex'!CL15</f>
        <v>18725900</v>
      </c>
      <c r="AF57" s="343">
        <f>'User Data Switex'!CM15</f>
        <v>23719400</v>
      </c>
      <c r="AG57" s="360">
        <v>672818005.37375283</v>
      </c>
      <c r="AI57" s="317"/>
      <c r="AJ57" s="317"/>
      <c r="AK57" s="317"/>
    </row>
    <row r="58" spans="2:37" ht="15" thickBot="1" x14ac:dyDescent="0.35">
      <c r="B58" s="610" t="s">
        <v>135</v>
      </c>
      <c r="C58" s="611" t="s">
        <v>103</v>
      </c>
      <c r="D58" s="430"/>
      <c r="E58" s="426"/>
      <c r="F58" s="426"/>
      <c r="G58" s="428"/>
      <c r="H58" s="427"/>
      <c r="I58" s="428">
        <f>'User Data Switex'!BP15*'ICO Model'!I17</f>
        <v>6300</v>
      </c>
      <c r="J58" s="428">
        <f>'User Data Switex'!BQ15*'ICO Model'!J17</f>
        <v>633713.52000000014</v>
      </c>
      <c r="K58" s="428">
        <f>'User Data Switex'!BR15*'ICO Model'!K17</f>
        <v>1161639.09504</v>
      </c>
      <c r="L58" s="428">
        <f>'User Data Switex'!BS15*'ICO Model'!L17</f>
        <v>1426539.9846604799</v>
      </c>
      <c r="M58" s="429">
        <f>L58</f>
        <v>1426539.9846604799</v>
      </c>
      <c r="N58" s="428">
        <f>'User Data Switex'!BU15*'ICO Model'!N17</f>
        <v>2163607.5121461656</v>
      </c>
      <c r="O58" s="428">
        <f>'User Data Switex'!BV15*'ICO Model'!O17</f>
        <v>3020897.7662188369</v>
      </c>
      <c r="P58" s="428">
        <f>'User Data Switex'!BW15*'ICO Model'!P17</f>
        <v>3440844</v>
      </c>
      <c r="Q58" s="428">
        <f>'User Data Switex'!BX15*'ICO Model'!Q17</f>
        <v>5260860</v>
      </c>
      <c r="R58" s="429">
        <f>Q58</f>
        <v>5260860</v>
      </c>
      <c r="S58" s="428">
        <f>'User Data Switex'!BZ15*'ICO Model'!S17</f>
        <v>5200044</v>
      </c>
      <c r="T58" s="428">
        <f>'User Data Switex'!CA15*'ICO Model'!T17</f>
        <v>5138940</v>
      </c>
      <c r="U58" s="428">
        <f>'User Data Switex'!CB15*'ICO Model'!U17</f>
        <v>5105448</v>
      </c>
      <c r="V58" s="428">
        <f>'User Data Switex'!CC15*'ICO Model'!V17</f>
        <v>5088288</v>
      </c>
      <c r="W58" s="429">
        <f>V58</f>
        <v>5088288</v>
      </c>
      <c r="X58" s="428">
        <f>'User Data Switex'!CE15*'ICO Model'!X17</f>
        <v>6905664</v>
      </c>
      <c r="Y58" s="428">
        <f>'User Data Switex'!CF15*'ICO Model'!Y17</f>
        <v>6926016</v>
      </c>
      <c r="Z58" s="428">
        <f>'User Data Switex'!CG15*'ICO Model'!Z17</f>
        <v>6938184</v>
      </c>
      <c r="AA58" s="428">
        <f>'User Data Switex'!CH15*'ICO Model'!AA17</f>
        <v>9344436</v>
      </c>
      <c r="AB58" s="429">
        <f>AA58</f>
        <v>9344436</v>
      </c>
      <c r="AC58" s="428">
        <f>'User Data Switex'!CJ15*'ICO Model'!AC17</f>
        <v>10514856</v>
      </c>
      <c r="AD58" s="428">
        <f>'User Data Switex'!CK15*'ICO Model'!AD17</f>
        <v>18286332</v>
      </c>
      <c r="AE58" s="428">
        <f>'User Data Switex'!CL15*'ICO Model'!AE17</f>
        <v>22471080</v>
      </c>
      <c r="AF58" s="428">
        <f>'User Data Switex'!CM15*'ICO Model'!AF17</f>
        <v>28463280</v>
      </c>
      <c r="AG58" s="429">
        <f>AF58</f>
        <v>28463280</v>
      </c>
      <c r="AI58" s="317"/>
      <c r="AJ58" s="317"/>
      <c r="AK58" s="317"/>
    </row>
    <row r="59" spans="2:37" x14ac:dyDescent="0.3">
      <c r="B59" s="594" t="s">
        <v>102</v>
      </c>
      <c r="C59" s="604" t="s">
        <v>77</v>
      </c>
      <c r="D59" s="365"/>
      <c r="E59" s="349"/>
      <c r="F59" s="349"/>
      <c r="G59" s="349"/>
      <c r="H59" s="378"/>
      <c r="I59" s="349"/>
      <c r="J59" s="349">
        <f>(J58-I58)/I58</f>
        <v>99.589447619047647</v>
      </c>
      <c r="K59" s="349">
        <f t="shared" ref="K59" si="28">(K58-J58)/J58</f>
        <v>0.83306661192899878</v>
      </c>
      <c r="L59" s="349">
        <f>(L58-K58)/K58</f>
        <v>0.22804061153895502</v>
      </c>
      <c r="M59" s="350"/>
      <c r="N59" s="349">
        <f>(N58-L58)/L58</f>
        <v>0.51668199658708447</v>
      </c>
      <c r="O59" s="349">
        <f>(O58-N58)/N58</f>
        <v>0.39623187165877977</v>
      </c>
      <c r="P59" s="349">
        <f t="shared" ref="P59" si="29">(P58-O58)/O58</f>
        <v>0.13901371919209191</v>
      </c>
      <c r="Q59" s="379">
        <f>(Q58-P58)/P58</f>
        <v>0.52894464265162855</v>
      </c>
      <c r="R59" s="380">
        <f>(R58-M58)/M58</f>
        <v>2.6878461568338707</v>
      </c>
      <c r="S59" s="349">
        <f>(S58-Q58)/Q58</f>
        <v>-1.1560087134042723E-2</v>
      </c>
      <c r="T59" s="349">
        <f>(T58-S58)/S58</f>
        <v>-1.1750669802024752E-2</v>
      </c>
      <c r="U59" s="349">
        <f t="shared" ref="U59" si="30">(U58-T58)/T58</f>
        <v>-6.5172973414750904E-3</v>
      </c>
      <c r="V59" s="379">
        <f>(V58-U58)/U58</f>
        <v>-3.3611154202334449E-3</v>
      </c>
      <c r="W59" s="380">
        <f>(W58-R58)/R58</f>
        <v>-3.2803001790581765E-2</v>
      </c>
      <c r="X59" s="349">
        <f>(X58-V58)/V58</f>
        <v>0.35716846216251913</v>
      </c>
      <c r="Y59" s="349">
        <f>(Y58-X58)/X58</f>
        <v>2.9471459949398059E-3</v>
      </c>
      <c r="Z59" s="349">
        <f t="shared" ref="Z59" si="31">(Z58-Y58)/Y58</f>
        <v>1.7568541568486126E-3</v>
      </c>
      <c r="AA59" s="379">
        <f>(AA58-Z58)/Z58</f>
        <v>0.34681294125379208</v>
      </c>
      <c r="AB59" s="380">
        <f>(AB58-W58)/W58</f>
        <v>0.83645972869460217</v>
      </c>
      <c r="AC59" s="349">
        <f>(AC58-AA58)/AA58</f>
        <v>0.1252531452941622</v>
      </c>
      <c r="AD59" s="349">
        <f>(AD58-AC58)/AC58</f>
        <v>0.73909485778977857</v>
      </c>
      <c r="AE59" s="349">
        <f t="shared" ref="AE59" si="32">(AE58-AD58)/AD58</f>
        <v>0.22884567555702259</v>
      </c>
      <c r="AF59" s="379">
        <f>(AF58-AE58)/AE58</f>
        <v>0.26666275052200428</v>
      </c>
      <c r="AG59" s="380">
        <f>(AG58-AB58)/AB58</f>
        <v>2.0460136919981045</v>
      </c>
      <c r="AI59" s="18"/>
    </row>
    <row r="60" spans="2:37" x14ac:dyDescent="0.3">
      <c r="B60" s="605" t="s">
        <v>133</v>
      </c>
      <c r="C60" s="606" t="s">
        <v>79</v>
      </c>
      <c r="D60" s="377"/>
      <c r="E60" s="317"/>
      <c r="F60" s="317"/>
      <c r="G60" s="317"/>
      <c r="H60" s="378"/>
      <c r="I60" s="317"/>
      <c r="J60" s="317"/>
      <c r="K60" s="317"/>
      <c r="L60" s="317"/>
      <c r="M60" s="378"/>
      <c r="N60" s="317"/>
      <c r="O60" s="317"/>
      <c r="P60" s="317"/>
      <c r="Q60" s="317"/>
      <c r="R60" s="378"/>
      <c r="S60" s="317"/>
      <c r="T60" s="317"/>
      <c r="U60" s="317"/>
      <c r="V60" s="317"/>
      <c r="W60" s="378"/>
      <c r="X60" s="317"/>
      <c r="Y60" s="317"/>
      <c r="Z60" s="317"/>
      <c r="AA60" s="317"/>
      <c r="AB60" s="378"/>
      <c r="AC60" s="317"/>
      <c r="AD60" s="317"/>
      <c r="AE60" s="317"/>
      <c r="AF60" s="317"/>
      <c r="AG60" s="378"/>
    </row>
    <row r="61" spans="2:37" x14ac:dyDescent="0.3">
      <c r="B61" s="594" t="s">
        <v>76</v>
      </c>
      <c r="C61" s="607" t="s">
        <v>76</v>
      </c>
      <c r="D61" s="377"/>
      <c r="E61" s="317"/>
      <c r="F61" s="317"/>
      <c r="G61" s="317"/>
      <c r="H61" s="378"/>
      <c r="I61" s="343">
        <f>I57*0.01*$C$9</f>
        <v>21</v>
      </c>
      <c r="J61" s="343">
        <f>J57*0.01*$C$9</f>
        <v>2112.3784000000005</v>
      </c>
      <c r="K61" s="343">
        <f>K57*0.01*$C$9</f>
        <v>3872.1303168000009</v>
      </c>
      <c r="L61" s="343">
        <f>L57*0.01*$C$9</f>
        <v>4755.1332822016002</v>
      </c>
      <c r="M61" s="360">
        <f>SUM(I61:L61)</f>
        <v>10760.6419990016</v>
      </c>
      <c r="N61" s="343">
        <f>N57*0.01*$C$9</f>
        <v>7212.0250404872204</v>
      </c>
      <c r="O61" s="343">
        <f>O57*0.01*$C$9</f>
        <v>10069.659220729458</v>
      </c>
      <c r="P61" s="343">
        <f>P57*0.01*$C$9</f>
        <v>11469.480000000001</v>
      </c>
      <c r="Q61" s="343">
        <f>Q57*0.01*$C$9</f>
        <v>17536.2</v>
      </c>
      <c r="R61" s="360">
        <f>SUM(N61:Q61)</f>
        <v>46287.364261216688</v>
      </c>
      <c r="S61" s="343">
        <f>S57*0.01*$C$9</f>
        <v>17333.480000000003</v>
      </c>
      <c r="T61" s="343">
        <f>T57*0.01*$C$9</f>
        <v>17129.8</v>
      </c>
      <c r="U61" s="343">
        <f>U57*0.01*$C$9</f>
        <v>17018.16</v>
      </c>
      <c r="V61" s="343">
        <f>V57*0.01*$C$9</f>
        <v>16960.960000000003</v>
      </c>
      <c r="W61" s="360">
        <f>SUM(S61:V61)</f>
        <v>68442.400000000009</v>
      </c>
      <c r="X61" s="343">
        <f>X57*0.01*$C$9</f>
        <v>23018.880000000005</v>
      </c>
      <c r="Y61" s="343">
        <f>Y57*0.01*$C$9</f>
        <v>23086.720000000001</v>
      </c>
      <c r="Z61" s="343">
        <f>Z57*0.01*$C$9</f>
        <v>23127.280000000002</v>
      </c>
      <c r="AA61" s="343">
        <f>AA57*0.01*$C$9</f>
        <v>31148.120000000003</v>
      </c>
      <c r="AB61" s="360">
        <f>SUM(X61:AA61)</f>
        <v>100381</v>
      </c>
      <c r="AC61" s="343">
        <f>AC57*0.01*$C$9</f>
        <v>35049.520000000004</v>
      </c>
      <c r="AD61" s="343">
        <f>AD57*0.01*$C$9</f>
        <v>60954.44</v>
      </c>
      <c r="AE61" s="343">
        <f>AE57*0.01*$C$9</f>
        <v>74903.600000000006</v>
      </c>
      <c r="AF61" s="343">
        <f>AF57*0.01*$C$9</f>
        <v>94877.6</v>
      </c>
      <c r="AG61" s="360">
        <f>SUM(AC61:AF61)</f>
        <v>265785.16000000003</v>
      </c>
    </row>
    <row r="62" spans="2:37" ht="15" thickBot="1" x14ac:dyDescent="0.35">
      <c r="B62" s="605" t="s">
        <v>90</v>
      </c>
      <c r="C62" s="606" t="s">
        <v>90</v>
      </c>
      <c r="D62" s="377"/>
      <c r="E62" s="317"/>
      <c r="F62" s="317"/>
      <c r="G62" s="317"/>
      <c r="H62" s="378"/>
      <c r="I62" s="343">
        <f>I58*I26*0.05/I17*$C$9</f>
        <v>170.57039586316785</v>
      </c>
      <c r="J62" s="343">
        <f>J58*J26*0.05/J17*$C$9</f>
        <v>18940.140502716062</v>
      </c>
      <c r="K62" s="343">
        <f>K58*K26*0.05/K17*$C$9</f>
        <v>37947.347021887326</v>
      </c>
      <c r="L62" s="343">
        <f>L58*L26*0.05/L17*$C$9</f>
        <v>50270.213854305242</v>
      </c>
      <c r="M62" s="360">
        <f>SUM(I62:L62)</f>
        <v>107328.2717747718</v>
      </c>
      <c r="N62" s="343">
        <f>N58*N26*0.05/N17*$C$9</f>
        <v>82326.403021435253</v>
      </c>
      <c r="O62" s="343">
        <f>O58*O26*0.05/O17*$C$9</f>
        <v>124389.05541170352</v>
      </c>
      <c r="P62" s="343">
        <f>P58*P26*0.05/P17*$C$9</f>
        <v>151160.853974378</v>
      </c>
      <c r="Q62" s="343">
        <f>Q58*Q26*0.05/Q17*$C$9</f>
        <v>254462.87269512119</v>
      </c>
      <c r="R62" s="360">
        <f>SUM(N62:Q62)</f>
        <v>612339.18510263797</v>
      </c>
      <c r="S62" s="343">
        <f>S58*S26*0.05/S17*$C$9</f>
        <v>262609.53577753337</v>
      </c>
      <c r="T62" s="343">
        <f>T58*T26*0.05/T17*$C$9</f>
        <v>271615.16486870538</v>
      </c>
      <c r="U62" s="343">
        <f>U58*U26*0.05/U17*$C$9</f>
        <v>282876.99483807496</v>
      </c>
      <c r="V62" s="343">
        <f>V58*V26*0.05/V17*$C$9</f>
        <v>295952.58408447116</v>
      </c>
      <c r="W62" s="360">
        <f>SUM(S62:V62)</f>
        <v>1113054.2795687849</v>
      </c>
      <c r="X62" s="343">
        <f>X58*X26*0.05/X17*$C$9</f>
        <v>435301.36729797744</v>
      </c>
      <c r="Y62" s="343">
        <f>Y58*Y26*0.05/Y17*$C$9</f>
        <v>458223.15152049111</v>
      </c>
      <c r="Z62" s="343">
        <f>Z58*Z26*0.05/Z17*$C$9</f>
        <v>482358.54651731602</v>
      </c>
      <c r="AA62" s="343">
        <f>AA58*AA26*0.05/AA17*$C$9</f>
        <v>708468.50099781156</v>
      </c>
      <c r="AB62" s="360">
        <f>SUM(X62:AA62)</f>
        <v>2084351.5663335961</v>
      </c>
      <c r="AC62" s="343">
        <f>AC58*AC26*0.05/AC17*$C$9</f>
        <v>851626.22143961303</v>
      </c>
      <c r="AD62" s="343">
        <f>AD58*AD26*0.05/AD17*$C$9</f>
        <v>1716000.5764637645</v>
      </c>
      <c r="AE62" s="343">
        <f>AE58*AE26*0.05/AE17*$C$9</f>
        <v>2315993.7962603024</v>
      </c>
      <c r="AF62" s="343">
        <f>AF58*AF26*0.05/AF17*$C$9</f>
        <v>3264657.9877405744</v>
      </c>
      <c r="AG62" s="360">
        <f>SUM(AC62:AF62)</f>
        <v>8148278.5819042549</v>
      </c>
    </row>
    <row r="63" spans="2:37" s="436" customFormat="1" ht="15" thickBot="1" x14ac:dyDescent="0.35">
      <c r="B63" s="608" t="s">
        <v>91</v>
      </c>
      <c r="C63" s="609" t="s">
        <v>91</v>
      </c>
      <c r="D63" s="442"/>
      <c r="E63" s="441"/>
      <c r="F63" s="441"/>
      <c r="G63" s="441"/>
      <c r="H63" s="427"/>
      <c r="I63" s="441">
        <f>SUM(I61:I62)</f>
        <v>191.57039586316785</v>
      </c>
      <c r="J63" s="441">
        <f>SUM(J61:J62)</f>
        <v>21052.518902716063</v>
      </c>
      <c r="K63" s="441">
        <f>SUM(K61:K62)</f>
        <v>41819.477338687328</v>
      </c>
      <c r="L63" s="441">
        <f>SUM(L61:L62)</f>
        <v>55025.34713650684</v>
      </c>
      <c r="M63" s="427">
        <f>SUM(I63:L63)</f>
        <v>118088.9137737734</v>
      </c>
      <c r="N63" s="441">
        <f>SUM(N61:N62)</f>
        <v>89538.428061922474</v>
      </c>
      <c r="O63" s="441">
        <f>SUM(O61:O62)</f>
        <v>134458.71463243297</v>
      </c>
      <c r="P63" s="441">
        <f>SUM(P61:P62)</f>
        <v>162630.33397437801</v>
      </c>
      <c r="Q63" s="441">
        <f>SUM(Q61:Q62)</f>
        <v>271999.07269512117</v>
      </c>
      <c r="R63" s="427">
        <f>SUM(N63:Q63)</f>
        <v>658626.54936385457</v>
      </c>
      <c r="S63" s="441">
        <f>SUM(S61:S62)</f>
        <v>279943.01577753335</v>
      </c>
      <c r="T63" s="441">
        <f>SUM(T61:T62)</f>
        <v>288744.96486870537</v>
      </c>
      <c r="U63" s="441">
        <f>SUM(U61:U62)</f>
        <v>299895.15483807493</v>
      </c>
      <c r="V63" s="441">
        <f>SUM(V61:V62)</f>
        <v>312913.54408447118</v>
      </c>
      <c r="W63" s="427">
        <f>SUM(S63:V63)</f>
        <v>1181496.6795687848</v>
      </c>
      <c r="X63" s="441">
        <f>SUM(X61:X62)</f>
        <v>458320.24729797745</v>
      </c>
      <c r="Y63" s="441">
        <f>SUM(Y61:Y62)</f>
        <v>481309.87152049108</v>
      </c>
      <c r="Z63" s="441">
        <f>SUM(Z61:Z62)</f>
        <v>505485.82651731605</v>
      </c>
      <c r="AA63" s="441">
        <f>SUM(AA61:AA62)</f>
        <v>739616.62099781155</v>
      </c>
      <c r="AB63" s="427">
        <f>SUM(X63:AA63)</f>
        <v>2184732.5663335961</v>
      </c>
      <c r="AC63" s="441">
        <f>SUM(AC61:AC62)</f>
        <v>886675.74143961305</v>
      </c>
      <c r="AD63" s="441">
        <f>SUM(AD61:AD62)</f>
        <v>1776955.0164637645</v>
      </c>
      <c r="AE63" s="441">
        <f>SUM(AE61:AE62)</f>
        <v>2390897.3962603025</v>
      </c>
      <c r="AF63" s="441">
        <f>SUM(AF61:AF62)</f>
        <v>3359535.5877405745</v>
      </c>
      <c r="AG63" s="427">
        <f>SUM(AC63:AF63)</f>
        <v>8414063.741904255</v>
      </c>
    </row>
    <row r="64" spans="2:37" x14ac:dyDescent="0.3">
      <c r="B64" s="594" t="s">
        <v>164</v>
      </c>
      <c r="C64" s="595" t="s">
        <v>87</v>
      </c>
      <c r="D64" s="377"/>
      <c r="E64" s="317"/>
      <c r="F64" s="317"/>
      <c r="G64" s="317"/>
      <c r="H64" s="378"/>
      <c r="I64" s="449">
        <f>I63/$C$3*I17</f>
        <v>4.2145487089896929E-6</v>
      </c>
      <c r="J64" s="449">
        <f>J63/$C$3*J17</f>
        <v>4.6315541585975341E-4</v>
      </c>
      <c r="K64" s="449">
        <f>K63/$C$3*K17</f>
        <v>9.2002850145112133E-4</v>
      </c>
      <c r="L64" s="449">
        <f>L63/$C$3*L17</f>
        <v>1.2105576370031504E-3</v>
      </c>
      <c r="M64" s="450">
        <f>SUM(I64:L64)</f>
        <v>2.5979561030230148E-3</v>
      </c>
      <c r="N64" s="449">
        <f>N63/$C$3*N17</f>
        <v>1.9698454173622945E-3</v>
      </c>
      <c r="O64" s="449">
        <f>O63/$C$3*O17</f>
        <v>2.9580917219135254E-3</v>
      </c>
      <c r="P64" s="449">
        <f>P63/$C$3*P17</f>
        <v>3.5778673474363165E-3</v>
      </c>
      <c r="Q64" s="449">
        <f>Q63/$C$3*Q17</f>
        <v>5.9839795992926662E-3</v>
      </c>
      <c r="R64" s="450">
        <f>SUM(N64:Q64)</f>
        <v>1.4489784086004803E-2</v>
      </c>
      <c r="S64" s="449">
        <f>S63/$C$3*S17</f>
        <v>6.1587463471057336E-3</v>
      </c>
      <c r="T64" s="449">
        <f>T63/$C$3*T17</f>
        <v>6.3523892271115188E-3</v>
      </c>
      <c r="U64" s="449">
        <f>U63/$C$3*U17</f>
        <v>6.5976934064376491E-3</v>
      </c>
      <c r="V64" s="449">
        <f>V63/$C$3*V17</f>
        <v>6.8840979698583668E-3</v>
      </c>
      <c r="W64" s="450">
        <f>SUM(S64:V64)</f>
        <v>2.5992926950513268E-2</v>
      </c>
      <c r="X64" s="449">
        <f>X63/$C$3*X17</f>
        <v>1.0083045440555504E-2</v>
      </c>
      <c r="Y64" s="449">
        <f>Y63/$C$3*Y17</f>
        <v>1.0588817173450804E-2</v>
      </c>
      <c r="Z64" s="449">
        <f>Z63/$C$3*Z17</f>
        <v>1.1120688183380953E-2</v>
      </c>
      <c r="AA64" s="449">
        <f>AA63/$C$3*AA17</f>
        <v>1.6271565661951856E-2</v>
      </c>
      <c r="AB64" s="450">
        <f>SUM(X64:AA64)</f>
        <v>4.8064116459339119E-2</v>
      </c>
      <c r="AC64" s="449">
        <f>AC63/$C$3*AC17</f>
        <v>1.9506866311671488E-2</v>
      </c>
      <c r="AD64" s="449">
        <f>AD63/$C$3*AD17</f>
        <v>3.9093010362202821E-2</v>
      </c>
      <c r="AE64" s="449">
        <f>AE63/$C$3*AE17</f>
        <v>5.2599742717726654E-2</v>
      </c>
      <c r="AF64" s="449">
        <f>AF63/$C$3*AF17</f>
        <v>7.3909782930292642E-2</v>
      </c>
      <c r="AG64" s="450">
        <f>SUM(AC64:AF64)</f>
        <v>0.1851094023218936</v>
      </c>
    </row>
    <row r="65" spans="2:33" x14ac:dyDescent="0.3">
      <c r="B65" s="596"/>
      <c r="C65" s="597"/>
      <c r="D65" s="381"/>
      <c r="E65" s="382"/>
      <c r="F65" s="382"/>
      <c r="G65" s="383"/>
      <c r="H65" s="384"/>
      <c r="I65" s="370"/>
      <c r="J65" s="370"/>
      <c r="K65" s="370"/>
      <c r="L65" s="370"/>
      <c r="M65" s="371"/>
      <c r="N65" s="370"/>
      <c r="O65" s="370"/>
      <c r="P65" s="370"/>
      <c r="Q65" s="370"/>
      <c r="R65" s="371"/>
      <c r="S65" s="370"/>
      <c r="T65" s="370"/>
      <c r="U65" s="370"/>
      <c r="V65" s="370"/>
      <c r="W65" s="371"/>
      <c r="X65" s="370"/>
      <c r="Y65" s="370"/>
      <c r="Z65" s="370"/>
      <c r="AA65" s="370"/>
      <c r="AB65" s="371"/>
      <c r="AC65" s="370"/>
      <c r="AD65" s="370"/>
      <c r="AE65" s="370"/>
      <c r="AF65" s="370"/>
      <c r="AG65" s="371"/>
    </row>
    <row r="66" spans="2:33" x14ac:dyDescent="0.3">
      <c r="B66" s="385"/>
      <c r="C66" s="385"/>
      <c r="D66" s="317"/>
      <c r="E66" s="317"/>
      <c r="F66" s="317"/>
      <c r="G66" s="317"/>
      <c r="H66" s="317"/>
      <c r="I66" s="386"/>
      <c r="J66" s="386"/>
      <c r="K66" s="386"/>
      <c r="L66" s="386"/>
      <c r="M66" s="317"/>
      <c r="N66" s="317"/>
      <c r="O66" s="317"/>
      <c r="P66" s="317"/>
      <c r="Q66" s="317"/>
      <c r="R66" s="317"/>
      <c r="S66" s="317"/>
      <c r="T66" s="317"/>
      <c r="U66" s="317"/>
      <c r="V66" s="317"/>
      <c r="W66" s="387"/>
      <c r="X66" s="317"/>
      <c r="Y66" s="317"/>
      <c r="Z66" s="317"/>
      <c r="AA66" s="317"/>
      <c r="AB66" s="387"/>
      <c r="AC66" s="317"/>
      <c r="AD66" s="317"/>
      <c r="AE66" s="317"/>
      <c r="AF66" s="317"/>
      <c r="AG66" s="387"/>
    </row>
    <row r="67" spans="2:33" x14ac:dyDescent="0.3">
      <c r="W67" s="388"/>
      <c r="AG67" s="388"/>
    </row>
    <row r="68" spans="2:33" x14ac:dyDescent="0.3">
      <c r="AG68" s="388"/>
    </row>
    <row r="69" spans="2:33" x14ac:dyDescent="0.3">
      <c r="L69" s="389"/>
      <c r="AG69" s="388"/>
    </row>
    <row r="70" spans="2:33" x14ac:dyDescent="0.3">
      <c r="F70" s="317"/>
      <c r="G70" s="317"/>
      <c r="AG70" s="388"/>
    </row>
    <row r="79" spans="2:33" x14ac:dyDescent="0.3">
      <c r="E79" s="390"/>
      <c r="F79" s="390"/>
      <c r="G79" s="390"/>
      <c r="H79" s="390"/>
      <c r="I79" s="390"/>
      <c r="J79" s="390"/>
      <c r="K79" s="390"/>
      <c r="L79" s="390"/>
      <c r="M79" s="390"/>
      <c r="N79" s="390"/>
      <c r="O79" s="390"/>
      <c r="P79" s="390"/>
      <c r="Q79" s="390"/>
      <c r="R79" s="390"/>
      <c r="S79" s="390"/>
      <c r="T79" s="390"/>
      <c r="U79" s="390"/>
      <c r="V79" s="390"/>
    </row>
    <row r="80" spans="2:33" x14ac:dyDescent="0.3">
      <c r="E80" s="391"/>
    </row>
  </sheetData>
  <mergeCells count="53">
    <mergeCell ref="B49:C49"/>
    <mergeCell ref="H14:H15"/>
    <mergeCell ref="B46:C46"/>
    <mergeCell ref="B24:C24"/>
    <mergeCell ref="B26:C26"/>
    <mergeCell ref="B31:C31"/>
    <mergeCell ref="B34:C34"/>
    <mergeCell ref="B32:C32"/>
    <mergeCell ref="B45:C45"/>
    <mergeCell ref="B55:C55"/>
    <mergeCell ref="B39:C39"/>
    <mergeCell ref="B40:C40"/>
    <mergeCell ref="B41:C41"/>
    <mergeCell ref="B42:C42"/>
    <mergeCell ref="B43:C43"/>
    <mergeCell ref="B48:C48"/>
    <mergeCell ref="S14:V14"/>
    <mergeCell ref="X14:AA14"/>
    <mergeCell ref="M14:M15"/>
    <mergeCell ref="R14:R15"/>
    <mergeCell ref="W14:W15"/>
    <mergeCell ref="AB14:AB15"/>
    <mergeCell ref="B22:C22"/>
    <mergeCell ref="B36:C36"/>
    <mergeCell ref="B37:C37"/>
    <mergeCell ref="B38:C38"/>
    <mergeCell ref="B35:C35"/>
    <mergeCell ref="B14:C15"/>
    <mergeCell ref="B21:C21"/>
    <mergeCell ref="B19:AG19"/>
    <mergeCell ref="B25:C25"/>
    <mergeCell ref="B33:C33"/>
    <mergeCell ref="AG14:AG15"/>
    <mergeCell ref="AC14:AF14"/>
    <mergeCell ref="D14:G14"/>
    <mergeCell ref="I14:L14"/>
    <mergeCell ref="N14:Q14"/>
    <mergeCell ref="B64:C64"/>
    <mergeCell ref="B65:C65"/>
    <mergeCell ref="B51:AG51"/>
    <mergeCell ref="B17:C17"/>
    <mergeCell ref="B29:AG29"/>
    <mergeCell ref="B59:C59"/>
    <mergeCell ref="B60:C60"/>
    <mergeCell ref="B61:C61"/>
    <mergeCell ref="B62:C62"/>
    <mergeCell ref="B63:C63"/>
    <mergeCell ref="B56:C56"/>
    <mergeCell ref="B57:C57"/>
    <mergeCell ref="B58:C58"/>
    <mergeCell ref="B44:C44"/>
    <mergeCell ref="B53:C53"/>
    <mergeCell ref="B54:C54"/>
  </mergeCells>
  <conditionalFormatting sqref="C5 C12">
    <cfRule type="cellIs" dxfId="23" priority="18" operator="lessThan">
      <formula>0</formula>
    </cfRule>
  </conditionalFormatting>
  <conditionalFormatting sqref="C8">
    <cfRule type="cellIs" dxfId="22" priority="15" operator="lessThan">
      <formula>0</formula>
    </cfRule>
  </conditionalFormatting>
  <conditionalFormatting sqref="C6:C7">
    <cfRule type="cellIs" dxfId="21" priority="10" operator="lessThan">
      <formula>0</formula>
    </cfRule>
  </conditionalFormatting>
  <conditionalFormatting sqref="C4">
    <cfRule type="cellIs" dxfId="20" priority="9" operator="lessThan">
      <formula>0</formula>
    </cfRule>
  </conditionalFormatting>
  <conditionalFormatting sqref="C9">
    <cfRule type="cellIs" dxfId="19" priority="6" operator="lessThan">
      <formula>0</formula>
    </cfRule>
  </conditionalFormatting>
  <conditionalFormatting sqref="B11:C11">
    <cfRule type="cellIs" dxfId="18" priority="1" operator="lessThan">
      <formula>0</formula>
    </cfRule>
  </conditionalFormatting>
  <pageMargins left="0.7" right="0.7" top="0.75" bottom="0.75" header="0.3" footer="0.3"/>
  <pageSetup paperSize="9" orientation="portrait" r:id="rId1"/>
  <ignoredErrors>
    <ignoredError sqref="B64:H64 B40:H40 B28:AG34 B24:H24 B36:AG38 B35:R35 T35:AG35 C41:AG41 C22:AG22 B48:H48 B63:H63 M63 B42:AG43 B47:H47 B45:L45 N44:AG45 B25:H25 B26:H26 B50:AG52 B66:AG69 B59:AG62 B58:H58 B39:H39 R39:AG39 B57:H57 B53:H53 M53 B54:H54 M54 R53 R54 W53 W54 AB53 AB54 B55:H55 M55 R55 B56:F56 M56 M57 R56 R57 W55 W56 W57 AB55 AB56 AB57 AG56 AG57 M48 M64 B21:L21 O21:Q21 X21 S21:V21 AC21:AF21 AA21 H56 J39:N39 J24 B44:F44 H44:L44" formula="1"/>
  </ignoredError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Worksheet____5">
    <tabColor rgb="FF001B50"/>
  </sheetPr>
  <dimension ref="A1:BX213"/>
  <sheetViews>
    <sheetView showGridLines="0" zoomScale="80" zoomScaleNormal="80" zoomScalePageLayoutView="70" workbookViewId="0">
      <pane xSplit="2" ySplit="5" topLeftCell="AL6" activePane="bottomRight" state="frozen"/>
      <selection pane="topRight" activeCell="C1" sqref="C1"/>
      <selection pane="bottomLeft" activeCell="A3" sqref="A3"/>
      <selection pane="bottomRight" activeCell="B44" sqref="B44"/>
    </sheetView>
  </sheetViews>
  <sheetFormatPr baseColWidth="10" defaultColWidth="11.44140625" defaultRowHeight="14.4" outlineLevelRow="2" outlineLevelCol="1" x14ac:dyDescent="0.3"/>
  <cols>
    <col min="1" max="1" width="57.33203125" style="67" customWidth="1"/>
    <col min="2" max="2" width="24.5546875" style="67" bestFit="1" customWidth="1"/>
    <col min="3" max="3" width="23.5546875" style="67" hidden="1" customWidth="1" outlineLevel="1"/>
    <col min="4" max="5" width="16.33203125" style="67" hidden="1" customWidth="1" outlineLevel="1"/>
    <col min="6" max="8" width="17.6640625" style="67" hidden="1" customWidth="1" outlineLevel="1"/>
    <col min="9" max="9" width="16.5546875" style="67" hidden="1" customWidth="1" outlineLevel="1"/>
    <col min="10" max="10" width="16.5546875" style="67" hidden="1" customWidth="1" outlineLevel="1" collapsed="1"/>
    <col min="11" max="11" width="17.6640625" style="67" hidden="1" customWidth="1" outlineLevel="1"/>
    <col min="12" max="12" width="16.5546875" style="67" hidden="1" customWidth="1" outlineLevel="1"/>
    <col min="13" max="13" width="16.5546875" style="66" hidden="1" customWidth="1" outlineLevel="1"/>
    <col min="14" max="19" width="16.44140625" style="66" hidden="1" customWidth="1" outlineLevel="1"/>
    <col min="20" max="20" width="16.44140625" style="69" hidden="1" customWidth="1" outlineLevel="1"/>
    <col min="21" max="21" width="16.5546875" style="66" hidden="1" customWidth="1" outlineLevel="1"/>
    <col min="22" max="22" width="17.88671875" style="66" customWidth="1" collapsed="1"/>
    <col min="23" max="25" width="17.88671875" style="66" customWidth="1"/>
    <col min="26" max="26" width="20.6640625" style="66" bestFit="1" customWidth="1"/>
    <col min="27" max="34" width="18.88671875" style="66" bestFit="1" customWidth="1"/>
    <col min="35" max="37" width="18.88671875" style="67" bestFit="1" customWidth="1"/>
    <col min="38" max="44" width="18.88671875" style="66" bestFit="1" customWidth="1"/>
    <col min="45" max="45" width="18.88671875" style="67" bestFit="1" customWidth="1"/>
    <col min="46" max="16384" width="11.44140625" style="67"/>
  </cols>
  <sheetData>
    <row r="1" spans="1:65" ht="14.4" customHeight="1" x14ac:dyDescent="0.3">
      <c r="A1" s="639" t="s">
        <v>142</v>
      </c>
      <c r="C1" s="637" t="s">
        <v>203</v>
      </c>
      <c r="D1" s="637"/>
      <c r="E1" s="637" t="s">
        <v>203</v>
      </c>
      <c r="F1" s="637"/>
      <c r="G1" s="637" t="s">
        <v>203</v>
      </c>
      <c r="H1" s="637"/>
      <c r="I1" s="637" t="s">
        <v>203</v>
      </c>
      <c r="J1" s="637"/>
      <c r="K1" s="637" t="s">
        <v>203</v>
      </c>
      <c r="L1" s="637"/>
      <c r="M1" s="637" t="s">
        <v>203</v>
      </c>
      <c r="N1" s="637"/>
      <c r="O1" s="459"/>
      <c r="P1" s="637" t="s">
        <v>208</v>
      </c>
      <c r="Q1" s="637"/>
      <c r="R1" s="637" t="s">
        <v>208</v>
      </c>
      <c r="S1" s="637"/>
      <c r="T1" s="637" t="s">
        <v>208</v>
      </c>
      <c r="U1" s="637"/>
      <c r="V1" s="637" t="s">
        <v>203</v>
      </c>
      <c r="W1" s="637"/>
      <c r="X1" s="637" t="s">
        <v>208</v>
      </c>
      <c r="Y1" s="637"/>
      <c r="Z1" s="637" t="s">
        <v>208</v>
      </c>
      <c r="AA1" s="637"/>
      <c r="AB1" s="637" t="s">
        <v>208</v>
      </c>
      <c r="AC1" s="637"/>
      <c r="AD1" s="637" t="s">
        <v>208</v>
      </c>
      <c r="AE1" s="637"/>
      <c r="AF1" s="637" t="s">
        <v>208</v>
      </c>
      <c r="AG1" s="637"/>
      <c r="AH1" s="637" t="s">
        <v>208</v>
      </c>
      <c r="AI1" s="637"/>
      <c r="AJ1" s="637" t="s">
        <v>208</v>
      </c>
      <c r="AK1" s="637"/>
      <c r="AL1" s="637" t="s">
        <v>208</v>
      </c>
      <c r="AM1" s="637"/>
      <c r="AN1" s="637" t="s">
        <v>208</v>
      </c>
      <c r="AO1" s="637"/>
      <c r="AP1" s="637" t="s">
        <v>208</v>
      </c>
      <c r="AQ1" s="637"/>
      <c r="AR1" s="637" t="s">
        <v>208</v>
      </c>
      <c r="AS1" s="637"/>
    </row>
    <row r="2" spans="1:65" ht="14.4" customHeight="1" x14ac:dyDescent="0.3">
      <c r="A2" s="639"/>
      <c r="C2" s="638"/>
      <c r="D2" s="638"/>
      <c r="E2" s="638"/>
      <c r="F2" s="638"/>
      <c r="G2" s="638"/>
      <c r="H2" s="638"/>
      <c r="I2" s="638"/>
      <c r="J2" s="638"/>
      <c r="K2" s="638"/>
      <c r="L2" s="638"/>
      <c r="M2" s="638"/>
      <c r="N2" s="638"/>
      <c r="O2" s="460"/>
      <c r="P2" s="638"/>
      <c r="Q2" s="638"/>
      <c r="R2" s="638"/>
      <c r="S2" s="638"/>
      <c r="T2" s="638"/>
      <c r="U2" s="638"/>
      <c r="V2" s="638"/>
      <c r="W2" s="638"/>
      <c r="X2" s="638"/>
      <c r="Y2" s="638"/>
      <c r="Z2" s="638"/>
      <c r="AA2" s="638"/>
      <c r="AB2" s="638"/>
      <c r="AC2" s="638"/>
      <c r="AD2" s="638"/>
      <c r="AE2" s="638"/>
      <c r="AF2" s="638"/>
      <c r="AG2" s="638"/>
      <c r="AH2" s="638"/>
      <c r="AI2" s="638"/>
      <c r="AJ2" s="638"/>
      <c r="AK2" s="638"/>
      <c r="AL2" s="638"/>
      <c r="AM2" s="638"/>
      <c r="AN2" s="638"/>
      <c r="AO2" s="638"/>
      <c r="AP2" s="638"/>
      <c r="AQ2" s="638"/>
      <c r="AR2" s="638"/>
      <c r="AS2" s="638"/>
    </row>
    <row r="3" spans="1:65" ht="15.6" x14ac:dyDescent="0.3">
      <c r="A3" s="248"/>
      <c r="B3" s="249"/>
      <c r="C3" s="455"/>
      <c r="D3" s="455"/>
      <c r="E3" s="455"/>
      <c r="F3" s="455"/>
      <c r="G3" s="249"/>
      <c r="H3" s="455"/>
      <c r="I3" s="249"/>
      <c r="J3" s="455"/>
      <c r="K3" s="249"/>
      <c r="L3" s="455"/>
      <c r="M3" s="249"/>
      <c r="N3" s="455"/>
      <c r="O3" s="249"/>
      <c r="P3" s="455"/>
      <c r="Q3" s="249"/>
      <c r="R3" s="249"/>
      <c r="S3" s="640">
        <v>2017</v>
      </c>
      <c r="T3" s="644"/>
      <c r="U3" s="645"/>
      <c r="V3" s="646"/>
      <c r="W3" s="647"/>
      <c r="X3" s="457"/>
      <c r="Y3" s="458"/>
      <c r="Z3" s="640">
        <v>2018</v>
      </c>
      <c r="AA3" s="641"/>
      <c r="AB3" s="641"/>
      <c r="AC3" s="642"/>
      <c r="AD3" s="640">
        <v>2019</v>
      </c>
      <c r="AE3" s="641"/>
      <c r="AF3" s="641"/>
      <c r="AG3" s="642"/>
      <c r="AH3" s="640">
        <v>2020</v>
      </c>
      <c r="AI3" s="641"/>
      <c r="AJ3" s="641"/>
      <c r="AK3" s="642"/>
      <c r="AL3" s="640">
        <v>2021</v>
      </c>
      <c r="AM3" s="641"/>
      <c r="AN3" s="641"/>
      <c r="AO3" s="642"/>
      <c r="AP3" s="640">
        <v>2022</v>
      </c>
      <c r="AQ3" s="641"/>
      <c r="AR3" s="641"/>
      <c r="AS3" s="642"/>
      <c r="AT3" s="66"/>
      <c r="AU3" s="66"/>
      <c r="AV3" s="66"/>
      <c r="AW3" s="66"/>
      <c r="AX3" s="66"/>
      <c r="AY3" s="66"/>
      <c r="AZ3" s="66"/>
      <c r="BA3" s="66"/>
      <c r="BB3" s="66"/>
      <c r="BC3" s="66"/>
      <c r="BD3" s="66"/>
      <c r="BE3" s="66"/>
      <c r="BF3" s="66"/>
      <c r="BG3" s="66"/>
      <c r="BH3" s="66"/>
      <c r="BI3" s="66"/>
      <c r="BJ3" s="66"/>
      <c r="BK3" s="66"/>
      <c r="BL3" s="66"/>
      <c r="BM3" s="66"/>
    </row>
    <row r="4" spans="1:65" x14ac:dyDescent="0.3">
      <c r="A4" s="250"/>
      <c r="B4" s="251" t="s">
        <v>113</v>
      </c>
      <c r="C4" s="456">
        <v>42522</v>
      </c>
      <c r="D4" s="456">
        <v>42552</v>
      </c>
      <c r="E4" s="456">
        <v>42583</v>
      </c>
      <c r="F4" s="456">
        <v>42614</v>
      </c>
      <c r="G4" s="456">
        <v>42644</v>
      </c>
      <c r="H4" s="456">
        <v>42675</v>
      </c>
      <c r="I4" s="456">
        <v>42705</v>
      </c>
      <c r="J4" s="456">
        <v>42736</v>
      </c>
      <c r="K4" s="456">
        <v>42767</v>
      </c>
      <c r="L4" s="456">
        <v>42795</v>
      </c>
      <c r="M4" s="456">
        <v>42826</v>
      </c>
      <c r="N4" s="456">
        <v>42856</v>
      </c>
      <c r="O4" s="456">
        <v>42887</v>
      </c>
      <c r="P4" s="456">
        <v>42917</v>
      </c>
      <c r="Q4" s="456">
        <v>42948</v>
      </c>
      <c r="R4" s="456">
        <v>42979</v>
      </c>
      <c r="S4" s="461">
        <v>43009</v>
      </c>
      <c r="T4" s="462">
        <v>43040</v>
      </c>
      <c r="U4" s="463">
        <v>43070</v>
      </c>
      <c r="V4" s="259" t="s">
        <v>0</v>
      </c>
      <c r="W4" s="260" t="s">
        <v>1</v>
      </c>
      <c r="X4" s="260" t="s">
        <v>2</v>
      </c>
      <c r="Y4" s="261" t="s">
        <v>3</v>
      </c>
      <c r="Z4" s="259" t="s">
        <v>24</v>
      </c>
      <c r="AA4" s="260" t="s">
        <v>25</v>
      </c>
      <c r="AB4" s="260" t="s">
        <v>26</v>
      </c>
      <c r="AC4" s="261" t="s">
        <v>27</v>
      </c>
      <c r="AD4" s="259" t="s">
        <v>31</v>
      </c>
      <c r="AE4" s="260" t="s">
        <v>30</v>
      </c>
      <c r="AF4" s="260" t="s">
        <v>29</v>
      </c>
      <c r="AG4" s="261" t="s">
        <v>28</v>
      </c>
      <c r="AH4" s="259" t="s">
        <v>32</v>
      </c>
      <c r="AI4" s="260" t="s">
        <v>33</v>
      </c>
      <c r="AJ4" s="260" t="s">
        <v>34</v>
      </c>
      <c r="AK4" s="261" t="s">
        <v>35</v>
      </c>
      <c r="AL4" s="259" t="s">
        <v>36</v>
      </c>
      <c r="AM4" s="260" t="s">
        <v>37</v>
      </c>
      <c r="AN4" s="260" t="s">
        <v>38</v>
      </c>
      <c r="AO4" s="260" t="s">
        <v>39</v>
      </c>
      <c r="AP4" s="259" t="s">
        <v>41</v>
      </c>
      <c r="AQ4" s="260" t="s">
        <v>42</v>
      </c>
      <c r="AR4" s="260" t="s">
        <v>43</v>
      </c>
      <c r="AS4" s="261" t="s">
        <v>40</v>
      </c>
      <c r="AT4" s="66"/>
      <c r="AU4" s="66"/>
      <c r="AV4" s="66"/>
      <c r="AW4" s="66"/>
      <c r="AX4" s="66"/>
      <c r="AY4" s="66"/>
      <c r="AZ4" s="66"/>
      <c r="BA4" s="66"/>
      <c r="BB4" s="66"/>
      <c r="BC4" s="66"/>
      <c r="BD4" s="66"/>
      <c r="BE4" s="66"/>
      <c r="BF4" s="66"/>
      <c r="BG4" s="66"/>
      <c r="BH4" s="66"/>
      <c r="BI4" s="66"/>
      <c r="BJ4" s="66"/>
      <c r="BK4" s="66"/>
      <c r="BL4" s="66"/>
      <c r="BM4" s="66"/>
    </row>
    <row r="5" spans="1:65" x14ac:dyDescent="0.3">
      <c r="A5" s="68"/>
      <c r="B5" s="69"/>
      <c r="C5" s="69"/>
      <c r="D5" s="69"/>
      <c r="E5" s="69"/>
      <c r="F5" s="69"/>
      <c r="G5" s="69"/>
      <c r="H5" s="69"/>
      <c r="I5" s="69"/>
      <c r="J5" s="69"/>
      <c r="K5" s="69"/>
      <c r="L5" s="70"/>
      <c r="M5" s="643"/>
      <c r="N5" s="643"/>
      <c r="O5" s="643"/>
      <c r="P5" s="71"/>
      <c r="Q5" s="71"/>
      <c r="R5" s="71"/>
      <c r="S5" s="68"/>
      <c r="U5" s="69"/>
      <c r="V5" s="69"/>
      <c r="W5" s="69"/>
      <c r="X5" s="69"/>
      <c r="Y5" s="69"/>
      <c r="Z5" s="68"/>
      <c r="AA5" s="69"/>
      <c r="AB5" s="69"/>
      <c r="AC5" s="72"/>
      <c r="AD5" s="68"/>
      <c r="AE5" s="69"/>
      <c r="AF5" s="69"/>
      <c r="AG5" s="72"/>
      <c r="AH5" s="68"/>
      <c r="AI5" s="69"/>
      <c r="AJ5" s="69"/>
      <c r="AK5" s="72"/>
      <c r="AL5" s="68"/>
      <c r="AM5" s="69"/>
      <c r="AN5" s="69"/>
      <c r="AO5" s="72"/>
      <c r="AP5" s="68"/>
      <c r="AQ5" s="69"/>
      <c r="AR5" s="69"/>
      <c r="AS5" s="72"/>
      <c r="AT5" s="66"/>
      <c r="AU5" s="66"/>
      <c r="AV5" s="66"/>
      <c r="AW5" s="66"/>
      <c r="AX5" s="66"/>
      <c r="AY5" s="66"/>
      <c r="AZ5" s="66"/>
      <c r="BA5" s="66"/>
      <c r="BB5" s="66"/>
      <c r="BC5" s="66"/>
      <c r="BD5" s="66"/>
      <c r="BE5" s="66"/>
      <c r="BF5" s="66"/>
      <c r="BG5" s="66"/>
      <c r="BH5" s="66"/>
      <c r="BI5" s="66"/>
      <c r="BJ5" s="66"/>
      <c r="BK5" s="66"/>
      <c r="BL5" s="66"/>
      <c r="BM5" s="66"/>
    </row>
    <row r="6" spans="1:65" x14ac:dyDescent="0.3">
      <c r="A6" s="73"/>
      <c r="B6" s="213"/>
      <c r="C6" s="75"/>
      <c r="D6" s="75"/>
      <c r="E6" s="75"/>
      <c r="F6" s="75"/>
      <c r="G6" s="75"/>
      <c r="H6" s="75"/>
      <c r="I6" s="75"/>
      <c r="J6" s="75"/>
      <c r="K6" s="75"/>
      <c r="L6" s="75"/>
      <c r="M6" s="75"/>
      <c r="N6" s="75"/>
      <c r="O6" s="75"/>
      <c r="P6" s="75"/>
      <c r="Q6" s="75"/>
      <c r="R6" s="75"/>
      <c r="S6" s="120"/>
      <c r="U6" s="120"/>
      <c r="V6" s="76"/>
      <c r="W6" s="76"/>
      <c r="X6" s="76"/>
      <c r="Y6" s="76"/>
      <c r="Z6" s="120"/>
      <c r="AA6" s="76"/>
      <c r="AB6" s="76"/>
      <c r="AC6" s="76"/>
      <c r="AD6" s="120"/>
      <c r="AE6" s="76"/>
      <c r="AF6" s="76"/>
      <c r="AG6" s="76"/>
      <c r="AH6" s="120"/>
      <c r="AI6" s="76"/>
      <c r="AJ6" s="76"/>
      <c r="AK6" s="76"/>
      <c r="AL6" s="120"/>
      <c r="AM6" s="76"/>
      <c r="AN6" s="76"/>
      <c r="AO6" s="120"/>
      <c r="AP6" s="120"/>
      <c r="AQ6" s="120"/>
      <c r="AR6" s="120"/>
      <c r="AS6" s="120"/>
      <c r="AT6" s="69"/>
      <c r="AU6" s="66"/>
      <c r="AV6" s="66"/>
      <c r="AW6" s="66"/>
      <c r="AX6" s="66"/>
      <c r="AY6" s="66"/>
      <c r="AZ6" s="66"/>
      <c r="BA6" s="66"/>
      <c r="BB6" s="66"/>
      <c r="BC6" s="66"/>
      <c r="BD6" s="66"/>
      <c r="BE6" s="66"/>
      <c r="BF6" s="66"/>
      <c r="BG6" s="66"/>
      <c r="BH6" s="66"/>
      <c r="BI6" s="66"/>
      <c r="BJ6" s="66"/>
      <c r="BK6" s="66"/>
      <c r="BL6" s="66"/>
      <c r="BM6" s="66"/>
    </row>
    <row r="7" spans="1:65" x14ac:dyDescent="0.3">
      <c r="A7" s="92" t="s">
        <v>16</v>
      </c>
      <c r="B7" s="273">
        <f>AVERAGE(G7:R7)</f>
        <v>160040.08333333334</v>
      </c>
      <c r="C7" s="118">
        <v>10068</v>
      </c>
      <c r="D7" s="118">
        <v>30103</v>
      </c>
      <c r="E7" s="118">
        <v>57124</v>
      </c>
      <c r="F7" s="118">
        <v>82293</v>
      </c>
      <c r="G7" s="118">
        <v>105539</v>
      </c>
      <c r="H7" s="118">
        <v>149796</v>
      </c>
      <c r="I7" s="118">
        <v>132837</v>
      </c>
      <c r="J7" s="118">
        <v>146128</v>
      </c>
      <c r="K7" s="118">
        <v>140457</v>
      </c>
      <c r="L7" s="118">
        <v>220236</v>
      </c>
      <c r="M7" s="118">
        <v>184467</v>
      </c>
      <c r="N7" s="119">
        <v>195673</v>
      </c>
      <c r="O7" s="119">
        <v>172693</v>
      </c>
      <c r="P7" s="119">
        <v>149823</v>
      </c>
      <c r="Q7" s="119">
        <v>143143</v>
      </c>
      <c r="R7" s="119">
        <v>179689</v>
      </c>
      <c r="S7" s="169">
        <f>S23*$B$39</f>
        <v>200205</v>
      </c>
      <c r="T7" s="119">
        <f>T23*$B$39</f>
        <v>188280</v>
      </c>
      <c r="U7" s="170">
        <f>U23*$B$39</f>
        <v>177570</v>
      </c>
      <c r="V7" s="305">
        <f>SUM(J7:L7)</f>
        <v>506821</v>
      </c>
      <c r="W7" s="299">
        <f>SUM(M7:O7)</f>
        <v>552833</v>
      </c>
      <c r="X7" s="299">
        <f>SUM(P7:R7)</f>
        <v>472655</v>
      </c>
      <c r="Y7" s="306">
        <f>SUM(S7:U7)</f>
        <v>566055</v>
      </c>
      <c r="Z7" s="119">
        <f>Z23*$B$39*3</f>
        <v>478276.30567364383</v>
      </c>
      <c r="AA7" s="119">
        <f t="shared" ref="AA7:AS7" si="0">AA23*$B$39*3</f>
        <v>583146.19583608641</v>
      </c>
      <c r="AB7" s="119">
        <f t="shared" si="0"/>
        <v>645969.58616450697</v>
      </c>
      <c r="AC7" s="119">
        <f t="shared" si="0"/>
        <v>700161.80615392583</v>
      </c>
      <c r="AD7" s="169">
        <f t="shared" si="0"/>
        <v>726626.29981021199</v>
      </c>
      <c r="AE7" s="119">
        <f t="shared" si="0"/>
        <v>745249.96749804448</v>
      </c>
      <c r="AF7" s="119">
        <f t="shared" si="0"/>
        <v>769998.99323611474</v>
      </c>
      <c r="AG7" s="170">
        <f t="shared" si="0"/>
        <v>800330.64219217165</v>
      </c>
      <c r="AH7" s="169">
        <f t="shared" si="0"/>
        <v>816217.2343934417</v>
      </c>
      <c r="AI7" s="119">
        <f t="shared" si="0"/>
        <v>833073.52473170264</v>
      </c>
      <c r="AJ7" s="119">
        <f t="shared" si="0"/>
        <v>861719.23022418306</v>
      </c>
      <c r="AK7" s="170">
        <f t="shared" si="0"/>
        <v>900595.16634767852</v>
      </c>
      <c r="AL7" s="119">
        <f t="shared" si="0"/>
        <v>940302.4986542972</v>
      </c>
      <c r="AM7" s="119">
        <f t="shared" si="0"/>
        <v>987907.11183319287</v>
      </c>
      <c r="AN7" s="119">
        <f t="shared" si="0"/>
        <v>1046126.0703473826</v>
      </c>
      <c r="AO7" s="119">
        <f t="shared" si="0"/>
        <v>1115889.0592139447</v>
      </c>
      <c r="AP7" s="169">
        <f t="shared" si="0"/>
        <v>1191705.990089026</v>
      </c>
      <c r="AQ7" s="119">
        <f t="shared" si="0"/>
        <v>1278035.2437729959</v>
      </c>
      <c r="AR7" s="119">
        <f t="shared" si="0"/>
        <v>1375976.8343967258</v>
      </c>
      <c r="AS7" s="170">
        <f t="shared" si="0"/>
        <v>1485884.575118351</v>
      </c>
      <c r="AT7" s="68"/>
      <c r="AU7" s="69"/>
      <c r="AV7" s="66"/>
      <c r="AW7" s="66"/>
      <c r="AX7" s="66"/>
      <c r="AY7" s="66"/>
      <c r="AZ7" s="66"/>
      <c r="BA7" s="66"/>
      <c r="BB7" s="66"/>
      <c r="BC7" s="66"/>
      <c r="BD7" s="66"/>
      <c r="BE7" s="66"/>
      <c r="BF7" s="66"/>
      <c r="BG7" s="66"/>
      <c r="BH7" s="66"/>
      <c r="BI7" s="66"/>
      <c r="BJ7" s="66"/>
      <c r="BK7" s="66"/>
      <c r="BL7" s="66"/>
      <c r="BM7" s="66"/>
    </row>
    <row r="8" spans="1:65" x14ac:dyDescent="0.3">
      <c r="A8" s="68" t="s">
        <v>15</v>
      </c>
      <c r="B8" s="268">
        <f>AVERAGE(G8:R8)</f>
        <v>3362338156.9826627</v>
      </c>
      <c r="C8" s="269">
        <v>173973540.63421538</v>
      </c>
      <c r="D8" s="269">
        <v>172776137.83795902</v>
      </c>
      <c r="E8" s="269">
        <v>933477468.5974704</v>
      </c>
      <c r="F8" s="269">
        <v>1974749380.1664984</v>
      </c>
      <c r="G8" s="269">
        <v>2147337098.2106891</v>
      </c>
      <c r="H8" s="269">
        <v>2673061808.5254908</v>
      </c>
      <c r="I8" s="269">
        <v>2976000000</v>
      </c>
      <c r="J8" s="269">
        <v>3190694381.2399402</v>
      </c>
      <c r="K8" s="269">
        <v>3559598474.1350446</v>
      </c>
      <c r="L8" s="269">
        <v>4582366288</v>
      </c>
      <c r="M8" s="269">
        <v>3339058066.1897674</v>
      </c>
      <c r="N8" s="269">
        <v>3978258255.7282391</v>
      </c>
      <c r="O8" s="269">
        <v>3734677270.0376377</v>
      </c>
      <c r="P8" s="269">
        <v>3322963993.3372345</v>
      </c>
      <c r="Q8" s="269">
        <v>3309498614.2364316</v>
      </c>
      <c r="R8" s="269">
        <v>3534543634.151485</v>
      </c>
      <c r="S8" s="294">
        <f>S7*$B$14</f>
        <v>4326394013.1000004</v>
      </c>
      <c r="T8" s="269">
        <f t="shared" ref="T8:AS8" si="1">T7*$B$14</f>
        <v>4068696909.5999999</v>
      </c>
      <c r="U8" s="270">
        <f>U7*$B$14</f>
        <v>3837255737.4000001</v>
      </c>
      <c r="V8" s="294">
        <f>SUM(J8:L8)</f>
        <v>11332659143.374985</v>
      </c>
      <c r="W8" s="269">
        <f>SUM(M8:O8)</f>
        <v>11051993591.955645</v>
      </c>
      <c r="X8" s="269">
        <f>SUM(P8:R8)</f>
        <v>10167006241.725151</v>
      </c>
      <c r="Y8" s="270">
        <f t="shared" si="1"/>
        <v>12232346660.1</v>
      </c>
      <c r="Z8" s="269">
        <f>Z7*$B$14</f>
        <v>10335464875.872421</v>
      </c>
      <c r="AA8" s="269">
        <f t="shared" si="1"/>
        <v>12601684325.702576</v>
      </c>
      <c r="AB8" s="269">
        <f t="shared" si="1"/>
        <v>13959286482.489487</v>
      </c>
      <c r="AC8" s="269">
        <f t="shared" si="1"/>
        <v>15130370601.861229</v>
      </c>
      <c r="AD8" s="294">
        <f t="shared" si="1"/>
        <v>15702263546.164715</v>
      </c>
      <c r="AE8" s="269">
        <f t="shared" si="1"/>
        <v>16104717652.638592</v>
      </c>
      <c r="AF8" s="269">
        <f t="shared" si="1"/>
        <v>16639539644.013657</v>
      </c>
      <c r="AG8" s="270">
        <f t="shared" si="1"/>
        <v>17295001118.257236</v>
      </c>
      <c r="AH8" s="294">
        <f>AH7*$B$14</f>
        <v>17638307516.140083</v>
      </c>
      <c r="AI8" s="269">
        <f t="shared" si="1"/>
        <v>18002568916.217644</v>
      </c>
      <c r="AJ8" s="269">
        <f t="shared" si="1"/>
        <v>18621597455.683155</v>
      </c>
      <c r="AK8" s="270">
        <f t="shared" si="1"/>
        <v>19461699437.643391</v>
      </c>
      <c r="AL8" s="269">
        <f t="shared" si="1"/>
        <v>20319767741.469604</v>
      </c>
      <c r="AM8" s="269">
        <f t="shared" si="1"/>
        <v>21348494863.435169</v>
      </c>
      <c r="AN8" s="269">
        <f t="shared" si="1"/>
        <v>22606596077.514275</v>
      </c>
      <c r="AO8" s="269">
        <f t="shared" si="1"/>
        <v>24114161709.582687</v>
      </c>
      <c r="AP8" s="294">
        <f t="shared" si="1"/>
        <v>25752551938.745636</v>
      </c>
      <c r="AQ8" s="269">
        <f t="shared" si="1"/>
        <v>27618111571.590561</v>
      </c>
      <c r="AR8" s="269">
        <f t="shared" si="1"/>
        <v>29734611715.483051</v>
      </c>
      <c r="AS8" s="270">
        <f t="shared" si="1"/>
        <v>32109698209.084045</v>
      </c>
      <c r="AT8" s="69"/>
      <c r="AU8" s="66"/>
      <c r="AV8" s="66"/>
      <c r="AW8" s="66"/>
      <c r="AX8" s="66"/>
      <c r="AY8" s="66"/>
      <c r="AZ8" s="66"/>
      <c r="BA8" s="66"/>
      <c r="BB8" s="66"/>
      <c r="BC8" s="66"/>
      <c r="BD8" s="66"/>
      <c r="BE8" s="66"/>
      <c r="BF8" s="66"/>
      <c r="BG8" s="66"/>
      <c r="BH8" s="66"/>
      <c r="BI8" s="66"/>
      <c r="BJ8" s="66"/>
      <c r="BK8" s="66"/>
      <c r="BL8" s="66"/>
      <c r="BM8" s="66"/>
    </row>
    <row r="9" spans="1:65" x14ac:dyDescent="0.3">
      <c r="A9" s="69" t="s">
        <v>19</v>
      </c>
      <c r="B9" s="214">
        <f>AVERAGE(G9:R9)</f>
        <v>43.926150689031253</v>
      </c>
      <c r="C9" s="78">
        <f t="shared" ref="C9:R9" si="2">C7/C23</f>
        <v>41.603305785123965</v>
      </c>
      <c r="D9" s="78">
        <f t="shared" si="2"/>
        <v>57.121442125237195</v>
      </c>
      <c r="E9" s="78">
        <f t="shared" si="2"/>
        <v>40.802857142857142</v>
      </c>
      <c r="F9" s="78">
        <f t="shared" si="2"/>
        <v>40.618460019743338</v>
      </c>
      <c r="G9" s="78">
        <f t="shared" si="2"/>
        <v>48.838037945395648</v>
      </c>
      <c r="H9" s="78">
        <f t="shared" si="2"/>
        <v>41.575353871773522</v>
      </c>
      <c r="I9" s="78">
        <f t="shared" si="2"/>
        <v>57.036066981537139</v>
      </c>
      <c r="J9" s="78">
        <f t="shared" si="2"/>
        <v>58.970137207425346</v>
      </c>
      <c r="K9" s="78">
        <f t="shared" si="2"/>
        <v>44.364181933038537</v>
      </c>
      <c r="L9" s="78">
        <f t="shared" si="2"/>
        <v>35.898288508557457</v>
      </c>
      <c r="M9" s="78">
        <f t="shared" si="2"/>
        <v>35.12319116527037</v>
      </c>
      <c r="N9" s="78">
        <f t="shared" si="2"/>
        <v>48.893803098450775</v>
      </c>
      <c r="O9" s="78">
        <f t="shared" si="2"/>
        <v>31.127072819033884</v>
      </c>
      <c r="P9" s="78">
        <f t="shared" si="2"/>
        <v>43.65472027972028</v>
      </c>
      <c r="Q9" s="78">
        <f t="shared" si="2"/>
        <v>43.747860635696824</v>
      </c>
      <c r="R9" s="78">
        <f t="shared" si="2"/>
        <v>37.885093822475227</v>
      </c>
      <c r="S9" s="171">
        <f>$B$39</f>
        <v>45</v>
      </c>
      <c r="T9" s="78">
        <f>$B$39</f>
        <v>45</v>
      </c>
      <c r="U9" s="172">
        <f>$B$39</f>
        <v>45</v>
      </c>
      <c r="V9" s="171">
        <f>AVERAGE(J9:L9)</f>
        <v>46.410869216340451</v>
      </c>
      <c r="W9" s="78">
        <f>AVERAGE(M9:O9)</f>
        <v>38.381355694251674</v>
      </c>
      <c r="X9" s="78">
        <f>AVERAGE(P9:R9)</f>
        <v>41.762558245964108</v>
      </c>
      <c r="Y9" s="172">
        <f>AVERAGE(S9:U9)</f>
        <v>45</v>
      </c>
      <c r="Z9" s="78">
        <f t="shared" ref="Z9:AS9" si="3">$B$39</f>
        <v>45</v>
      </c>
      <c r="AA9" s="78">
        <f t="shared" si="3"/>
        <v>45</v>
      </c>
      <c r="AB9" s="78">
        <f t="shared" si="3"/>
        <v>45</v>
      </c>
      <c r="AC9" s="78">
        <f t="shared" si="3"/>
        <v>45</v>
      </c>
      <c r="AD9" s="171">
        <f t="shared" si="3"/>
        <v>45</v>
      </c>
      <c r="AE9" s="78">
        <f t="shared" si="3"/>
        <v>45</v>
      </c>
      <c r="AF9" s="78">
        <f t="shared" si="3"/>
        <v>45</v>
      </c>
      <c r="AG9" s="172">
        <f t="shared" si="3"/>
        <v>45</v>
      </c>
      <c r="AH9" s="171">
        <f t="shared" si="3"/>
        <v>45</v>
      </c>
      <c r="AI9" s="78">
        <f t="shared" si="3"/>
        <v>45</v>
      </c>
      <c r="AJ9" s="78">
        <f t="shared" si="3"/>
        <v>45</v>
      </c>
      <c r="AK9" s="172">
        <f t="shared" si="3"/>
        <v>45</v>
      </c>
      <c r="AL9" s="78">
        <f t="shared" si="3"/>
        <v>45</v>
      </c>
      <c r="AM9" s="78">
        <f t="shared" si="3"/>
        <v>45</v>
      </c>
      <c r="AN9" s="78">
        <f t="shared" si="3"/>
        <v>45</v>
      </c>
      <c r="AO9" s="78">
        <f t="shared" si="3"/>
        <v>45</v>
      </c>
      <c r="AP9" s="171">
        <f t="shared" si="3"/>
        <v>45</v>
      </c>
      <c r="AQ9" s="78">
        <f t="shared" si="3"/>
        <v>45</v>
      </c>
      <c r="AR9" s="78">
        <f t="shared" si="3"/>
        <v>45</v>
      </c>
      <c r="AS9" s="172">
        <f t="shared" si="3"/>
        <v>45</v>
      </c>
      <c r="AT9" s="69"/>
      <c r="AU9" s="66"/>
      <c r="AV9" s="66"/>
      <c r="AW9" s="66"/>
      <c r="AX9" s="66"/>
      <c r="AY9" s="66"/>
      <c r="AZ9" s="66"/>
      <c r="BA9" s="66"/>
      <c r="BB9" s="66"/>
      <c r="BC9" s="66"/>
      <c r="BD9" s="66"/>
      <c r="BE9" s="66"/>
      <c r="BF9" s="66"/>
      <c r="BG9" s="66"/>
      <c r="BH9" s="66"/>
      <c r="BI9" s="66"/>
      <c r="BJ9" s="66"/>
      <c r="BK9" s="66"/>
      <c r="BL9" s="66"/>
      <c r="BM9" s="66"/>
    </row>
    <row r="10" spans="1:65" x14ac:dyDescent="0.3">
      <c r="A10" s="168" t="s">
        <v>18</v>
      </c>
      <c r="B10" s="274">
        <f>AVERAGE(G10:R10)</f>
        <v>3.5491467062797404</v>
      </c>
      <c r="C10" s="82">
        <f t="shared" ref="C10:R10" si="4">C25/C7</f>
        <v>2.4001596387763091</v>
      </c>
      <c r="D10" s="82">
        <f t="shared" si="4"/>
        <v>1.9047695768262096</v>
      </c>
      <c r="E10" s="82">
        <f t="shared" si="4"/>
        <v>2.6421343363700545</v>
      </c>
      <c r="F10" s="82">
        <f t="shared" si="4"/>
        <v>2.2281496177220053</v>
      </c>
      <c r="G10" s="82">
        <f t="shared" si="4"/>
        <v>2.8518332651994625</v>
      </c>
      <c r="H10" s="82">
        <f t="shared" si="4"/>
        <v>4.4623345260211904</v>
      </c>
      <c r="I10" s="82">
        <f t="shared" si="4"/>
        <v>4.4795267419334408</v>
      </c>
      <c r="J10" s="82">
        <f t="shared" si="4"/>
        <v>3.4296001834051553</v>
      </c>
      <c r="K10" s="82">
        <f t="shared" si="4"/>
        <v>2.9934376379990244</v>
      </c>
      <c r="L10" s="82">
        <f t="shared" si="4"/>
        <v>3.8778038104578725</v>
      </c>
      <c r="M10" s="82">
        <f t="shared" si="4"/>
        <v>1.7263792439840189</v>
      </c>
      <c r="N10" s="82">
        <f t="shared" si="4"/>
        <v>3.7780105194574771</v>
      </c>
      <c r="O10" s="82">
        <f t="shared" si="4"/>
        <v>5.8148801575438167</v>
      </c>
      <c r="P10" s="82">
        <f t="shared" si="4"/>
        <v>3.9919009583596434</v>
      </c>
      <c r="Q10" s="82">
        <f t="shared" si="4"/>
        <v>2.4377387688614722</v>
      </c>
      <c r="R10" s="82">
        <f t="shared" si="4"/>
        <v>2.7463146621343011</v>
      </c>
      <c r="S10" s="175">
        <f>$B$40</f>
        <v>3.65</v>
      </c>
      <c r="T10" s="173">
        <f>$B$40</f>
        <v>3.65</v>
      </c>
      <c r="U10" s="174">
        <f>$B$40</f>
        <v>3.65</v>
      </c>
      <c r="V10" s="175">
        <f>AVERAGE(J10:L10)</f>
        <v>3.433613877287351</v>
      </c>
      <c r="W10" s="82">
        <f>AVERAGE(M10:O10)</f>
        <v>3.7730899736617709</v>
      </c>
      <c r="X10" s="82">
        <f>AVERAGE(P10:R10)</f>
        <v>3.0586514631184722</v>
      </c>
      <c r="Y10" s="307">
        <f>AVERAGE(S10:U10)</f>
        <v>3.65</v>
      </c>
      <c r="Z10" s="277">
        <f t="shared" ref="Z10:AS10" si="5">$B$40</f>
        <v>3.65</v>
      </c>
      <c r="AA10" s="277">
        <f t="shared" si="5"/>
        <v>3.65</v>
      </c>
      <c r="AB10" s="277">
        <f t="shared" si="5"/>
        <v>3.65</v>
      </c>
      <c r="AC10" s="277">
        <f t="shared" si="5"/>
        <v>3.65</v>
      </c>
      <c r="AD10" s="276">
        <f t="shared" si="5"/>
        <v>3.65</v>
      </c>
      <c r="AE10" s="277">
        <f t="shared" si="5"/>
        <v>3.65</v>
      </c>
      <c r="AF10" s="277">
        <f t="shared" si="5"/>
        <v>3.65</v>
      </c>
      <c r="AG10" s="278">
        <f t="shared" si="5"/>
        <v>3.65</v>
      </c>
      <c r="AH10" s="276">
        <f t="shared" si="5"/>
        <v>3.65</v>
      </c>
      <c r="AI10" s="277">
        <f t="shared" si="5"/>
        <v>3.65</v>
      </c>
      <c r="AJ10" s="277">
        <f t="shared" si="5"/>
        <v>3.65</v>
      </c>
      <c r="AK10" s="278">
        <f t="shared" si="5"/>
        <v>3.65</v>
      </c>
      <c r="AL10" s="277">
        <f t="shared" si="5"/>
        <v>3.65</v>
      </c>
      <c r="AM10" s="277">
        <f t="shared" si="5"/>
        <v>3.65</v>
      </c>
      <c r="AN10" s="277">
        <f t="shared" si="5"/>
        <v>3.65</v>
      </c>
      <c r="AO10" s="277">
        <f t="shared" si="5"/>
        <v>3.65</v>
      </c>
      <c r="AP10" s="276">
        <f t="shared" si="5"/>
        <v>3.65</v>
      </c>
      <c r="AQ10" s="277">
        <f t="shared" si="5"/>
        <v>3.65</v>
      </c>
      <c r="AR10" s="277">
        <f t="shared" si="5"/>
        <v>3.65</v>
      </c>
      <c r="AS10" s="278">
        <f t="shared" si="5"/>
        <v>3.65</v>
      </c>
      <c r="AT10" s="69"/>
      <c r="AU10" s="66"/>
      <c r="AV10" s="66"/>
      <c r="AW10" s="66"/>
      <c r="AX10" s="66"/>
      <c r="AY10" s="66"/>
      <c r="AZ10" s="66"/>
      <c r="BA10" s="66"/>
      <c r="BB10" s="66"/>
      <c r="BC10" s="66"/>
      <c r="BD10" s="66"/>
      <c r="BE10" s="66"/>
      <c r="BF10" s="66"/>
      <c r="BG10" s="66"/>
      <c r="BH10" s="66"/>
      <c r="BI10" s="66"/>
      <c r="BJ10" s="66"/>
      <c r="BK10" s="66"/>
      <c r="BL10" s="66"/>
      <c r="BM10" s="66"/>
    </row>
    <row r="11" spans="1:65" hidden="1" outlineLevel="1" x14ac:dyDescent="0.3">
      <c r="A11" s="194" t="s">
        <v>209</v>
      </c>
      <c r="B11" s="275">
        <f t="shared" ref="B11:B13" si="6">AVERAGE(G11:R11)</f>
        <v>0.16145518550274507</v>
      </c>
      <c r="C11" s="80">
        <f t="shared" ref="C11:Q11" si="7">C32/C7</f>
        <v>5.6755065554231224E-2</v>
      </c>
      <c r="D11" s="80">
        <f t="shared" si="7"/>
        <v>8.9599560665049996E-2</v>
      </c>
      <c r="E11" s="80">
        <f t="shared" si="7"/>
        <v>7.145743087318833E-2</v>
      </c>
      <c r="F11" s="80">
        <f t="shared" si="7"/>
        <v>9.0068957534663222E-2</v>
      </c>
      <c r="G11" s="80">
        <f t="shared" si="7"/>
        <v>0.11582094048835122</v>
      </c>
      <c r="H11" s="80">
        <f t="shared" si="7"/>
        <v>9.8227568861652889E-2</v>
      </c>
      <c r="I11" s="80">
        <f t="shared" si="7"/>
        <v>0.11603536742323359</v>
      </c>
      <c r="J11" s="80">
        <f t="shared" si="7"/>
        <v>0.10166229440633895</v>
      </c>
      <c r="K11" s="80">
        <f t="shared" si="7"/>
        <v>0.13997878354229409</v>
      </c>
      <c r="L11" s="80">
        <f t="shared" si="7"/>
        <v>0.14318276757659965</v>
      </c>
      <c r="M11" s="80">
        <f t="shared" si="7"/>
        <v>0.1426445922576938</v>
      </c>
      <c r="N11" s="80">
        <f t="shared" si="7"/>
        <v>0.14465612641651784</v>
      </c>
      <c r="O11" s="80">
        <f t="shared" si="7"/>
        <v>0.16061311816317417</v>
      </c>
      <c r="P11" s="80">
        <f t="shared" si="7"/>
        <v>0.12410240153418954</v>
      </c>
      <c r="Q11" s="80">
        <f t="shared" si="7"/>
        <v>0.11801088930141768</v>
      </c>
      <c r="R11" s="80">
        <f>R32/R$7</f>
        <v>0.53252737606147693</v>
      </c>
      <c r="S11" s="207"/>
      <c r="T11" s="208"/>
      <c r="U11" s="208"/>
      <c r="V11" s="208"/>
      <c r="W11" s="208"/>
      <c r="X11" s="208"/>
      <c r="Y11" s="208"/>
      <c r="Z11" s="207"/>
      <c r="AA11" s="208"/>
      <c r="AB11" s="208"/>
      <c r="AC11" s="209"/>
      <c r="AD11" s="207"/>
      <c r="AE11" s="208"/>
      <c r="AF11" s="208"/>
      <c r="AG11" s="209"/>
      <c r="AH11" s="207"/>
      <c r="AI11" s="208"/>
      <c r="AJ11" s="208"/>
      <c r="AK11" s="209"/>
      <c r="AL11" s="207"/>
      <c r="AM11" s="208"/>
      <c r="AN11" s="208"/>
      <c r="AO11" s="209"/>
      <c r="AP11" s="207"/>
      <c r="AQ11" s="208"/>
      <c r="AR11" s="208"/>
      <c r="AS11" s="209"/>
      <c r="AT11" s="68"/>
      <c r="AU11" s="66"/>
      <c r="AV11" s="66"/>
      <c r="AW11" s="66"/>
      <c r="AX11" s="66"/>
      <c r="AY11" s="66"/>
      <c r="AZ11" s="66"/>
      <c r="BA11" s="66"/>
      <c r="BB11" s="66"/>
      <c r="BC11" s="66"/>
      <c r="BD11" s="66"/>
      <c r="BE11" s="66"/>
      <c r="BF11" s="66"/>
      <c r="BG11" s="66"/>
      <c r="BH11" s="66"/>
      <c r="BI11" s="66"/>
      <c r="BJ11" s="66"/>
      <c r="BK11" s="66"/>
      <c r="BL11" s="66"/>
      <c r="BM11" s="66"/>
    </row>
    <row r="12" spans="1:65" hidden="1" outlineLevel="1" x14ac:dyDescent="0.3">
      <c r="A12" s="194" t="s">
        <v>210</v>
      </c>
      <c r="B12" s="275">
        <f t="shared" si="6"/>
        <v>0.45406709653258726</v>
      </c>
      <c r="C12" s="80">
        <f t="shared" ref="C12:Q12" si="8">C33/C$7</f>
        <v>2.9878543891537646E-2</v>
      </c>
      <c r="D12" s="80">
        <f t="shared" si="8"/>
        <v>0.11632738336710656</v>
      </c>
      <c r="E12" s="80">
        <f t="shared" si="8"/>
        <v>0.17807655289545637</v>
      </c>
      <c r="F12" s="80">
        <f t="shared" si="8"/>
        <v>0.26770894899930991</v>
      </c>
      <c r="G12" s="80">
        <f t="shared" si="8"/>
        <v>0.31140184784203112</v>
      </c>
      <c r="H12" s="80">
        <f t="shared" si="8"/>
        <v>0.36902561434083159</v>
      </c>
      <c r="I12" s="80">
        <f t="shared" si="8"/>
        <v>0.44666369108831905</v>
      </c>
      <c r="J12" s="80">
        <f t="shared" si="8"/>
        <v>0.49727715427569608</v>
      </c>
      <c r="K12" s="80">
        <f t="shared" si="8"/>
        <v>0.3375837444911966</v>
      </c>
      <c r="L12" s="80">
        <f t="shared" si="8"/>
        <v>0.42223796291251203</v>
      </c>
      <c r="M12" s="80">
        <f t="shared" si="8"/>
        <v>0.52342570757913343</v>
      </c>
      <c r="N12" s="80">
        <f t="shared" si="8"/>
        <v>0.45854834388729215</v>
      </c>
      <c r="O12" s="80">
        <f t="shared" si="8"/>
        <v>0.7331626806166871</v>
      </c>
      <c r="P12" s="80">
        <f t="shared" si="8"/>
        <v>0.5561339063247499</v>
      </c>
      <c r="Q12" s="80">
        <f t="shared" si="8"/>
        <v>0.6797988194333443</v>
      </c>
      <c r="R12" s="80">
        <f>R33/R$7</f>
        <v>0.11354568559925485</v>
      </c>
      <c r="S12" s="207"/>
      <c r="T12" s="208"/>
      <c r="U12" s="208"/>
      <c r="V12" s="208"/>
      <c r="W12" s="208"/>
      <c r="X12" s="208"/>
      <c r="Y12" s="208"/>
      <c r="Z12" s="207"/>
      <c r="AA12" s="208"/>
      <c r="AB12" s="208"/>
      <c r="AC12" s="209"/>
      <c r="AD12" s="207"/>
      <c r="AE12" s="208"/>
      <c r="AF12" s="208"/>
      <c r="AG12" s="209"/>
      <c r="AH12" s="207"/>
      <c r="AI12" s="208"/>
      <c r="AJ12" s="208"/>
      <c r="AK12" s="209"/>
      <c r="AL12" s="207"/>
      <c r="AM12" s="208"/>
      <c r="AN12" s="208"/>
      <c r="AO12" s="209"/>
      <c r="AP12" s="207"/>
      <c r="AQ12" s="208"/>
      <c r="AR12" s="208"/>
      <c r="AS12" s="209"/>
      <c r="AT12" s="66"/>
      <c r="AU12" s="66"/>
      <c r="AV12" s="66"/>
      <c r="AW12" s="66"/>
      <c r="AX12" s="66"/>
      <c r="AY12" s="66"/>
      <c r="AZ12" s="66"/>
      <c r="BA12" s="66"/>
      <c r="BB12" s="66"/>
      <c r="BC12" s="66"/>
      <c r="BD12" s="66"/>
      <c r="BE12" s="66"/>
      <c r="BF12" s="66"/>
      <c r="BG12" s="66"/>
      <c r="BH12" s="66"/>
      <c r="BI12" s="66"/>
      <c r="BJ12" s="66"/>
      <c r="BK12" s="66"/>
      <c r="BL12" s="66"/>
      <c r="BM12" s="66"/>
    </row>
    <row r="13" spans="1:65" hidden="1" outlineLevel="1" x14ac:dyDescent="0.3">
      <c r="A13" s="194" t="s">
        <v>211</v>
      </c>
      <c r="B13" s="275">
        <f t="shared" si="6"/>
        <v>2.9336244242444072</v>
      </c>
      <c r="C13" s="80">
        <f t="shared" ref="C13:Q13" si="9">C34/C$7</f>
        <v>2.3135260293305402</v>
      </c>
      <c r="D13" s="80">
        <f t="shared" si="9"/>
        <v>1.6988426327940531</v>
      </c>
      <c r="E13" s="80">
        <f t="shared" si="9"/>
        <v>2.3926003526014101</v>
      </c>
      <c r="F13" s="80">
        <f t="shared" si="9"/>
        <v>1.8703717111880316</v>
      </c>
      <c r="G13" s="80">
        <f t="shared" si="9"/>
        <v>2.4246104768690802</v>
      </c>
      <c r="H13" s="80">
        <f t="shared" si="9"/>
        <v>3.9950813428187057</v>
      </c>
      <c r="I13" s="80">
        <f t="shared" si="9"/>
        <v>3.9168276834218876</v>
      </c>
      <c r="J13" s="80">
        <f t="shared" si="9"/>
        <v>2.8306607347231205</v>
      </c>
      <c r="K13" s="80">
        <f t="shared" si="9"/>
        <v>2.5158751099655339</v>
      </c>
      <c r="L13" s="80">
        <f t="shared" si="9"/>
        <v>3.3123830799687606</v>
      </c>
      <c r="M13" s="80">
        <f t="shared" si="9"/>
        <v>1.0603089441471918</v>
      </c>
      <c r="N13" s="80">
        <f t="shared" si="9"/>
        <v>3.1748060491536672</v>
      </c>
      <c r="O13" s="80">
        <f t="shared" si="9"/>
        <v>4.9211043587639551</v>
      </c>
      <c r="P13" s="80">
        <f t="shared" si="9"/>
        <v>3.3116646505007044</v>
      </c>
      <c r="Q13" s="80">
        <f t="shared" si="9"/>
        <v>1.63992906012671</v>
      </c>
      <c r="R13" s="80">
        <f>R34/R$7</f>
        <v>2.1002416004735696</v>
      </c>
      <c r="S13" s="207"/>
      <c r="T13" s="208"/>
      <c r="U13" s="208"/>
      <c r="V13" s="208"/>
      <c r="W13" s="208"/>
      <c r="X13" s="208"/>
      <c r="Y13" s="208"/>
      <c r="Z13" s="207"/>
      <c r="AA13" s="208"/>
      <c r="AB13" s="208"/>
      <c r="AC13" s="209"/>
      <c r="AD13" s="207"/>
      <c r="AE13" s="208"/>
      <c r="AF13" s="208"/>
      <c r="AG13" s="209"/>
      <c r="AH13" s="207"/>
      <c r="AI13" s="208"/>
      <c r="AJ13" s="208"/>
      <c r="AK13" s="209"/>
      <c r="AL13" s="207"/>
      <c r="AM13" s="208"/>
      <c r="AN13" s="208"/>
      <c r="AO13" s="209"/>
      <c r="AP13" s="207"/>
      <c r="AQ13" s="208"/>
      <c r="AR13" s="208"/>
      <c r="AS13" s="209"/>
      <c r="AT13" s="66"/>
      <c r="AU13" s="66"/>
      <c r="AV13" s="66"/>
      <c r="AW13" s="66"/>
      <c r="AX13" s="66"/>
      <c r="AY13" s="66"/>
      <c r="AZ13" s="66"/>
      <c r="BA13" s="66"/>
      <c r="BB13" s="66"/>
      <c r="BC13" s="66"/>
      <c r="BD13" s="66"/>
      <c r="BE13" s="66"/>
      <c r="BF13" s="66"/>
      <c r="BG13" s="66"/>
      <c r="BH13" s="66"/>
      <c r="BI13" s="66"/>
      <c r="BJ13" s="66"/>
      <c r="BK13" s="66"/>
      <c r="BL13" s="66"/>
      <c r="BM13" s="66"/>
    </row>
    <row r="14" spans="1:65" hidden="1" outlineLevel="1" x14ac:dyDescent="0.3">
      <c r="A14" s="194" t="s">
        <v>166</v>
      </c>
      <c r="B14" s="464">
        <v>21609.82</v>
      </c>
      <c r="C14" s="80"/>
      <c r="D14" s="80"/>
      <c r="E14" s="80"/>
      <c r="F14" s="80"/>
      <c r="G14" s="80"/>
      <c r="H14" s="80"/>
      <c r="I14" s="80"/>
      <c r="J14" s="296"/>
      <c r="K14" s="296"/>
      <c r="L14" s="296"/>
      <c r="M14" s="296"/>
      <c r="N14" s="296"/>
      <c r="O14" s="296"/>
      <c r="P14" s="296"/>
      <c r="Q14" s="296"/>
      <c r="R14" s="296"/>
      <c r="S14" s="207"/>
      <c r="T14" s="208"/>
      <c r="U14" s="208"/>
      <c r="V14" s="208"/>
      <c r="W14" s="208"/>
      <c r="X14" s="208"/>
      <c r="Y14" s="208"/>
      <c r="Z14" s="207"/>
      <c r="AA14" s="208"/>
      <c r="AB14" s="208"/>
      <c r="AC14" s="209"/>
      <c r="AD14" s="207"/>
      <c r="AE14" s="208"/>
      <c r="AF14" s="208"/>
      <c r="AG14" s="209"/>
      <c r="AH14" s="207"/>
      <c r="AI14" s="208"/>
      <c r="AJ14" s="208"/>
      <c r="AK14" s="209"/>
      <c r="AL14" s="207"/>
      <c r="AM14" s="208"/>
      <c r="AN14" s="208"/>
      <c r="AO14" s="209"/>
      <c r="AP14" s="207"/>
      <c r="AQ14" s="208"/>
      <c r="AR14" s="208"/>
      <c r="AS14" s="209"/>
      <c r="AT14" s="66"/>
      <c r="AU14" s="66"/>
      <c r="AV14" s="66"/>
      <c r="AW14" s="66"/>
      <c r="AX14" s="66"/>
      <c r="AY14" s="66"/>
      <c r="AZ14" s="66"/>
      <c r="BA14" s="66"/>
      <c r="BB14" s="66"/>
      <c r="BC14" s="66"/>
      <c r="BD14" s="66"/>
      <c r="BE14" s="66"/>
      <c r="BF14" s="66"/>
      <c r="BG14" s="66"/>
      <c r="BH14" s="66"/>
      <c r="BI14" s="66"/>
      <c r="BJ14" s="66"/>
      <c r="BK14" s="66"/>
      <c r="BL14" s="66"/>
      <c r="BM14" s="66"/>
    </row>
    <row r="15" spans="1:65" hidden="1" outlineLevel="1" x14ac:dyDescent="0.3">
      <c r="A15" s="81" t="s">
        <v>21</v>
      </c>
      <c r="B15" s="274">
        <f>AVERAGE(G15:R15)</f>
        <v>168.90469497882165</v>
      </c>
      <c r="C15" s="83">
        <f t="shared" ref="C15:R15" si="10">C25/C8*1000000</f>
        <v>138.89932431740937</v>
      </c>
      <c r="D15" s="83">
        <f t="shared" si="10"/>
        <v>331.87035714952714</v>
      </c>
      <c r="E15" s="83">
        <f t="shared" si="10"/>
        <v>161.68497570441735</v>
      </c>
      <c r="F15" s="83">
        <f t="shared" si="10"/>
        <v>92.85285430789051</v>
      </c>
      <c r="G15" s="83">
        <f t="shared" si="10"/>
        <v>140.16412757302209</v>
      </c>
      <c r="H15" s="83">
        <f t="shared" si="10"/>
        <v>250.06524747311909</v>
      </c>
      <c r="I15" s="83">
        <f t="shared" si="10"/>
        <v>199.94855303031332</v>
      </c>
      <c r="J15" s="83">
        <f t="shared" si="10"/>
        <v>157.0694512602839</v>
      </c>
      <c r="K15" s="83">
        <f t="shared" si="10"/>
        <v>118.11704982332171</v>
      </c>
      <c r="L15" s="83">
        <f t="shared" si="10"/>
        <v>186.37357782516926</v>
      </c>
      <c r="M15" s="83">
        <f t="shared" si="10"/>
        <v>95.374202450871991</v>
      </c>
      <c r="N15" s="83">
        <f t="shared" si="10"/>
        <v>185.82369591249144</v>
      </c>
      <c r="O15" s="83">
        <f t="shared" si="10"/>
        <v>268.88242984288553</v>
      </c>
      <c r="P15" s="83">
        <f t="shared" si="10"/>
        <v>179.9834661114308</v>
      </c>
      <c r="Q15" s="83">
        <f t="shared" si="10"/>
        <v>105.43749409354156</v>
      </c>
      <c r="R15" s="83">
        <f t="shared" si="10"/>
        <v>139.61704434940938</v>
      </c>
      <c r="S15" s="210"/>
      <c r="T15" s="211"/>
      <c r="U15" s="211"/>
      <c r="V15" s="211"/>
      <c r="W15" s="211"/>
      <c r="X15" s="211"/>
      <c r="Y15" s="211"/>
      <c r="Z15" s="210"/>
      <c r="AA15" s="211"/>
      <c r="AB15" s="211"/>
      <c r="AC15" s="212"/>
      <c r="AD15" s="210"/>
      <c r="AE15" s="211"/>
      <c r="AF15" s="211"/>
      <c r="AG15" s="212"/>
      <c r="AH15" s="210"/>
      <c r="AI15" s="211"/>
      <c r="AJ15" s="211"/>
      <c r="AK15" s="212"/>
      <c r="AL15" s="210"/>
      <c r="AM15" s="211"/>
      <c r="AN15" s="211"/>
      <c r="AO15" s="212"/>
      <c r="AP15" s="210"/>
      <c r="AQ15" s="211"/>
      <c r="AR15" s="211"/>
      <c r="AS15" s="212"/>
      <c r="AT15" s="66"/>
      <c r="AU15" s="66"/>
      <c r="AV15" s="66"/>
      <c r="AW15" s="66"/>
      <c r="AX15" s="66"/>
      <c r="AY15" s="66"/>
      <c r="AZ15" s="66"/>
      <c r="BA15" s="66"/>
      <c r="BB15" s="66"/>
      <c r="BC15" s="66"/>
      <c r="BD15" s="66"/>
      <c r="BE15" s="66"/>
      <c r="BF15" s="66"/>
      <c r="BG15" s="66"/>
      <c r="BH15" s="66"/>
      <c r="BI15" s="66"/>
      <c r="BJ15" s="66"/>
      <c r="BK15" s="66"/>
      <c r="BL15" s="66"/>
      <c r="BM15" s="66"/>
    </row>
    <row r="16" spans="1:65" s="66" customFormat="1" collapsed="1" x14ac:dyDescent="0.3">
      <c r="A16" s="84"/>
      <c r="B16" s="197"/>
      <c r="C16" s="69"/>
      <c r="D16" s="69"/>
      <c r="E16" s="69"/>
      <c r="F16" s="69"/>
      <c r="G16" s="69"/>
      <c r="H16" s="69"/>
      <c r="I16" s="69"/>
      <c r="J16" s="69"/>
      <c r="K16" s="69"/>
      <c r="L16" s="69"/>
      <c r="M16" s="69"/>
      <c r="N16" s="69"/>
      <c r="O16" s="69"/>
      <c r="P16" s="69"/>
      <c r="Q16" s="69"/>
      <c r="R16" s="69"/>
      <c r="S16" s="120"/>
      <c r="T16" s="76"/>
      <c r="U16" s="120"/>
      <c r="V16" s="69"/>
      <c r="W16" s="69"/>
      <c r="X16" s="69"/>
      <c r="Y16" s="69"/>
      <c r="Z16" s="120"/>
      <c r="AA16" s="76"/>
      <c r="AB16" s="76"/>
      <c r="AC16" s="76"/>
      <c r="AD16" s="120"/>
      <c r="AE16" s="76"/>
      <c r="AF16" s="76"/>
      <c r="AG16" s="76"/>
      <c r="AH16" s="120"/>
      <c r="AI16" s="76"/>
      <c r="AJ16" s="76"/>
      <c r="AK16" s="76"/>
      <c r="AL16" s="120"/>
      <c r="AM16" s="76"/>
      <c r="AN16" s="76"/>
      <c r="AO16" s="76"/>
      <c r="AP16" s="120"/>
      <c r="AQ16" s="76"/>
      <c r="AR16" s="76"/>
      <c r="AS16" s="76"/>
      <c r="AT16" s="69"/>
    </row>
    <row r="17" spans="1:68" s="66" customFormat="1" hidden="1" outlineLevel="1" x14ac:dyDescent="0.3">
      <c r="A17" s="115" t="s">
        <v>46</v>
      </c>
      <c r="B17" s="116"/>
      <c r="C17" s="116"/>
      <c r="D17" s="116"/>
      <c r="E17" s="116"/>
      <c r="F17" s="116"/>
      <c r="G17" s="116"/>
      <c r="H17" s="116"/>
      <c r="I17" s="116"/>
      <c r="J17" s="116"/>
      <c r="K17" s="116"/>
      <c r="L17" s="116"/>
      <c r="M17" s="116"/>
      <c r="N17" s="116"/>
      <c r="O17" s="116"/>
      <c r="P17" s="116"/>
      <c r="Q17" s="116"/>
      <c r="R17" s="116"/>
      <c r="S17" s="115">
        <v>1</v>
      </c>
      <c r="T17" s="116">
        <v>1</v>
      </c>
      <c r="U17" s="176">
        <v>1</v>
      </c>
      <c r="V17" s="115"/>
      <c r="W17" s="116"/>
      <c r="X17" s="116"/>
      <c r="Y17" s="176"/>
      <c r="Z17" s="115">
        <v>1</v>
      </c>
      <c r="AA17" s="116">
        <v>2</v>
      </c>
      <c r="AB17" s="116">
        <v>3</v>
      </c>
      <c r="AC17" s="116">
        <v>4</v>
      </c>
      <c r="AD17" s="115">
        <v>5</v>
      </c>
      <c r="AE17" s="116">
        <v>6</v>
      </c>
      <c r="AF17" s="116">
        <v>7</v>
      </c>
      <c r="AG17" s="176">
        <v>8</v>
      </c>
      <c r="AH17" s="115">
        <v>9</v>
      </c>
      <c r="AI17" s="116">
        <v>10</v>
      </c>
      <c r="AJ17" s="116">
        <v>11</v>
      </c>
      <c r="AK17" s="176">
        <v>12</v>
      </c>
      <c r="AL17" s="115">
        <v>13</v>
      </c>
      <c r="AM17" s="116">
        <v>14</v>
      </c>
      <c r="AN17" s="116">
        <v>15</v>
      </c>
      <c r="AO17" s="176">
        <v>16</v>
      </c>
      <c r="AP17" s="115">
        <v>17</v>
      </c>
      <c r="AQ17" s="116">
        <v>18</v>
      </c>
      <c r="AR17" s="116">
        <v>19</v>
      </c>
      <c r="AS17" s="176">
        <v>20</v>
      </c>
      <c r="AT17" s="69"/>
    </row>
    <row r="18" spans="1:68" s="66" customFormat="1" hidden="1" outlineLevel="2" x14ac:dyDescent="0.3">
      <c r="A18" s="85" t="s">
        <v>45</v>
      </c>
      <c r="B18" s="86"/>
      <c r="C18" s="86"/>
      <c r="D18" s="86"/>
      <c r="E18" s="86"/>
      <c r="F18" s="86"/>
      <c r="G18" s="86"/>
      <c r="H18" s="86"/>
      <c r="I18" s="86"/>
      <c r="J18" s="86"/>
      <c r="K18" s="86"/>
      <c r="L18" s="86"/>
      <c r="M18" s="86"/>
      <c r="N18" s="86"/>
      <c r="O18" s="86"/>
      <c r="P18" s="86"/>
      <c r="Q18" s="86"/>
      <c r="R18" s="86"/>
      <c r="S18" s="85">
        <v>1</v>
      </c>
      <c r="T18" s="86">
        <v>1</v>
      </c>
      <c r="U18" s="177">
        <v>1</v>
      </c>
      <c r="V18" s="178">
        <f t="shared" ref="V18:AS18" si="11">(1+$B$43)^V17</f>
        <v>1</v>
      </c>
      <c r="W18" s="179">
        <f t="shared" si="11"/>
        <v>1</v>
      </c>
      <c r="X18" s="179">
        <f t="shared" si="11"/>
        <v>1</v>
      </c>
      <c r="Y18" s="180">
        <f t="shared" si="11"/>
        <v>1</v>
      </c>
      <c r="Z18" s="178">
        <f t="shared" si="11"/>
        <v>1.1000000000000001</v>
      </c>
      <c r="AA18" s="179">
        <f t="shared" si="11"/>
        <v>1.2100000000000002</v>
      </c>
      <c r="AB18" s="179">
        <f t="shared" si="11"/>
        <v>1.3310000000000004</v>
      </c>
      <c r="AC18" s="179">
        <f t="shared" si="11"/>
        <v>1.4641000000000004</v>
      </c>
      <c r="AD18" s="178">
        <f t="shared" si="11"/>
        <v>1.6105100000000006</v>
      </c>
      <c r="AE18" s="179">
        <f t="shared" si="11"/>
        <v>1.7715610000000008</v>
      </c>
      <c r="AF18" s="179">
        <f t="shared" si="11"/>
        <v>1.9487171000000012</v>
      </c>
      <c r="AG18" s="180">
        <f t="shared" si="11"/>
        <v>2.1435888100000011</v>
      </c>
      <c r="AH18" s="178">
        <f t="shared" si="11"/>
        <v>2.3579476910000015</v>
      </c>
      <c r="AI18" s="179">
        <f t="shared" si="11"/>
        <v>2.5937424601000019</v>
      </c>
      <c r="AJ18" s="179">
        <f t="shared" si="11"/>
        <v>2.8531167061100025</v>
      </c>
      <c r="AK18" s="180">
        <f t="shared" si="11"/>
        <v>3.1384283767210026</v>
      </c>
      <c r="AL18" s="178">
        <f t="shared" si="11"/>
        <v>3.4522712143931029</v>
      </c>
      <c r="AM18" s="179">
        <f t="shared" si="11"/>
        <v>3.7974983358324139</v>
      </c>
      <c r="AN18" s="179">
        <f t="shared" si="11"/>
        <v>4.1772481694156554</v>
      </c>
      <c r="AO18" s="180">
        <f t="shared" si="11"/>
        <v>4.5949729863572211</v>
      </c>
      <c r="AP18" s="178">
        <f t="shared" si="11"/>
        <v>5.0544702849929433</v>
      </c>
      <c r="AQ18" s="179">
        <f t="shared" si="11"/>
        <v>5.5599173134922379</v>
      </c>
      <c r="AR18" s="179">
        <f t="shared" si="11"/>
        <v>6.1159090448414632</v>
      </c>
      <c r="AS18" s="180">
        <f t="shared" si="11"/>
        <v>6.7274999493256091</v>
      </c>
      <c r="AT18" s="69"/>
    </row>
    <row r="19" spans="1:68" s="66" customFormat="1" collapsed="1" x14ac:dyDescent="0.3">
      <c r="A19" s="195" t="s">
        <v>101</v>
      </c>
      <c r="B19" s="467">
        <f>AVERAGE(G19:R19)</f>
        <v>1267.6666666666667</v>
      </c>
      <c r="C19" s="400">
        <v>959</v>
      </c>
      <c r="D19" s="400">
        <v>1244</v>
      </c>
      <c r="E19" s="400">
        <v>703</v>
      </c>
      <c r="F19" s="400">
        <v>1417</v>
      </c>
      <c r="G19" s="400">
        <v>1075</v>
      </c>
      <c r="H19" s="400">
        <v>1179</v>
      </c>
      <c r="I19" s="400">
        <v>427</v>
      </c>
      <c r="J19" s="400">
        <v>997</v>
      </c>
      <c r="K19" s="400">
        <v>2376</v>
      </c>
      <c r="L19" s="400">
        <v>2764</v>
      </c>
      <c r="M19" s="400">
        <v>2042</v>
      </c>
      <c r="N19" s="400">
        <v>1463</v>
      </c>
      <c r="O19" s="400">
        <v>1211</v>
      </c>
      <c r="P19" s="400">
        <v>473</v>
      </c>
      <c r="Q19" s="400">
        <v>352</v>
      </c>
      <c r="R19" s="400">
        <v>853</v>
      </c>
      <c r="S19" s="401">
        <f>$B$42*S18-S50/$B$44</f>
        <v>600</v>
      </c>
      <c r="T19" s="400">
        <f>$B$42*T18-T50/$B$44</f>
        <v>600</v>
      </c>
      <c r="U19" s="402">
        <f>$B$42*U18-U50/$B$44</f>
        <v>600</v>
      </c>
      <c r="V19" s="400">
        <f>SUM(J19:L19)</f>
        <v>6137</v>
      </c>
      <c r="W19" s="400">
        <f>SUM(M19:O19)</f>
        <v>4716</v>
      </c>
      <c r="X19" s="400">
        <f>SUM(P19:R19)</f>
        <v>1678</v>
      </c>
      <c r="Y19" s="400">
        <f>SUM(S19:U19)</f>
        <v>1800</v>
      </c>
      <c r="Z19" s="401">
        <f>3*$B$42*Z18-Z50/$B$44+'ICO Model'!C6</f>
        <v>7571.666666666667</v>
      </c>
      <c r="AA19" s="400">
        <f t="shared" ref="AA19:AK19" si="12">3*$B$42*AA18-AA50/$B$44</f>
        <v>5969.666666666667</v>
      </c>
      <c r="AB19" s="400">
        <f t="shared" si="12"/>
        <v>6187.4666666666672</v>
      </c>
      <c r="AC19" s="402">
        <f t="shared" si="12"/>
        <v>6427.0466666666671</v>
      </c>
      <c r="AD19" s="400">
        <f t="shared" si="12"/>
        <v>5773.9180000000015</v>
      </c>
      <c r="AE19" s="400">
        <f t="shared" si="12"/>
        <v>6063.8098000000009</v>
      </c>
      <c r="AF19" s="400">
        <f t="shared" si="12"/>
        <v>6382.6907800000026</v>
      </c>
      <c r="AG19" s="400">
        <f t="shared" si="12"/>
        <v>6733.459858000002</v>
      </c>
      <c r="AH19" s="401">
        <f t="shared" si="12"/>
        <v>6306.8058438000025</v>
      </c>
      <c r="AI19" s="400">
        <f t="shared" si="12"/>
        <v>6731.2364281800037</v>
      </c>
      <c r="AJ19" s="400">
        <f t="shared" si="12"/>
        <v>7198.1100709980055</v>
      </c>
      <c r="AK19" s="402">
        <f t="shared" si="12"/>
        <v>7711.6710780978046</v>
      </c>
      <c r="AL19" s="401">
        <f>3*$B$42*AL18-AL50/$B$44+'ICO Model'!O6</f>
        <v>7984.9215192409183</v>
      </c>
      <c r="AM19" s="400">
        <f t="shared" ref="AM19:AS19" si="13">3*$B$42*AM18-AM50/$B$44</f>
        <v>8606.3303378316778</v>
      </c>
      <c r="AN19" s="400">
        <f t="shared" si="13"/>
        <v>9289.8800382815134</v>
      </c>
      <c r="AO19" s="402">
        <f t="shared" si="13"/>
        <v>10041.784708776331</v>
      </c>
      <c r="AP19" s="401">
        <f>3*$B$42*AP18-AP50/$B$44</f>
        <v>10764.713179653963</v>
      </c>
      <c r="AQ19" s="400">
        <f t="shared" si="13"/>
        <v>11674.517830952695</v>
      </c>
      <c r="AR19" s="400">
        <f t="shared" si="13"/>
        <v>12675.3029473813</v>
      </c>
      <c r="AS19" s="402">
        <f t="shared" si="13"/>
        <v>13776.166575452762</v>
      </c>
      <c r="AT19" s="69"/>
    </row>
    <row r="20" spans="1:68" s="66" customFormat="1" x14ac:dyDescent="0.3">
      <c r="A20" s="194" t="s">
        <v>100</v>
      </c>
      <c r="B20" s="465">
        <f>R20</f>
        <v>19535</v>
      </c>
      <c r="C20" s="403">
        <v>959</v>
      </c>
      <c r="D20" s="403">
        <v>2203</v>
      </c>
      <c r="E20" s="404">
        <v>2906</v>
      </c>
      <c r="F20" s="404">
        <v>4323</v>
      </c>
      <c r="G20" s="404">
        <v>5398</v>
      </c>
      <c r="H20" s="404">
        <v>6577</v>
      </c>
      <c r="I20" s="404">
        <v>7004</v>
      </c>
      <c r="J20" s="404">
        <v>8001</v>
      </c>
      <c r="K20" s="404">
        <v>10377</v>
      </c>
      <c r="L20" s="404">
        <v>13141</v>
      </c>
      <c r="M20" s="404">
        <f>L20+M19</f>
        <v>15183</v>
      </c>
      <c r="N20" s="404">
        <f>M20+N19</f>
        <v>16646</v>
      </c>
      <c r="O20" s="404">
        <f>N20+O19</f>
        <v>17857</v>
      </c>
      <c r="P20" s="404">
        <f t="shared" ref="P20:R20" si="14">O20+P19</f>
        <v>18330</v>
      </c>
      <c r="Q20" s="404">
        <f t="shared" si="14"/>
        <v>18682</v>
      </c>
      <c r="R20" s="404">
        <f t="shared" si="14"/>
        <v>19535</v>
      </c>
      <c r="S20" s="405">
        <f>O20+S19</f>
        <v>18457</v>
      </c>
      <c r="T20" s="404">
        <f>S20+T19</f>
        <v>19057</v>
      </c>
      <c r="U20" s="406">
        <f>T20+U19</f>
        <v>19657</v>
      </c>
      <c r="V20" s="404">
        <f>L20</f>
        <v>13141</v>
      </c>
      <c r="W20" s="404">
        <f>O20</f>
        <v>17857</v>
      </c>
      <c r="X20" s="404">
        <f>R20</f>
        <v>19535</v>
      </c>
      <c r="Y20" s="404">
        <f>U20</f>
        <v>19657</v>
      </c>
      <c r="Z20" s="405">
        <f>U20+Z19</f>
        <v>27228.666666666668</v>
      </c>
      <c r="AA20" s="404">
        <f t="shared" ref="AA20" si="15">Z20+AA19</f>
        <v>33198.333333333336</v>
      </c>
      <c r="AB20" s="404">
        <f>AA20+AB19</f>
        <v>39385.800000000003</v>
      </c>
      <c r="AC20" s="406">
        <f>AB20+AC19</f>
        <v>45812.846666666672</v>
      </c>
      <c r="AD20" s="404">
        <f>AC20+AD19</f>
        <v>51586.76466666667</v>
      </c>
      <c r="AE20" s="404">
        <f t="shared" ref="AE20" si="16">AD20+AE19</f>
        <v>57650.574466666672</v>
      </c>
      <c r="AF20" s="404">
        <f t="shared" ref="AF20" si="17">AE20+AF19</f>
        <v>64033.265246666677</v>
      </c>
      <c r="AG20" s="404">
        <f t="shared" ref="AG20" si="18">AF20+AG19</f>
        <v>70766.725104666679</v>
      </c>
      <c r="AH20" s="405">
        <f t="shared" ref="AH20" si="19">AG20+AH19</f>
        <v>77073.53094846668</v>
      </c>
      <c r="AI20" s="404">
        <f t="shared" ref="AI20" si="20">AH20+AI19</f>
        <v>83804.767376646691</v>
      </c>
      <c r="AJ20" s="404">
        <f t="shared" ref="AJ20" si="21">AI20+AJ19</f>
        <v>91002.8774476447</v>
      </c>
      <c r="AK20" s="406">
        <f t="shared" ref="AK20" si="22">AJ20+AK19</f>
        <v>98714.548525742503</v>
      </c>
      <c r="AL20" s="405">
        <f t="shared" ref="AL20" si="23">AK20+AL19</f>
        <v>106699.47004498342</v>
      </c>
      <c r="AM20" s="404">
        <f t="shared" ref="AM20" si="24">AL20+AM19</f>
        <v>115305.8003828151</v>
      </c>
      <c r="AN20" s="412">
        <f t="shared" ref="AN20" si="25">AM20+AN19</f>
        <v>124595.68042109661</v>
      </c>
      <c r="AO20" s="406">
        <f t="shared" ref="AO20" si="26">AN20+AO19</f>
        <v>134637.46512987293</v>
      </c>
      <c r="AP20" s="405">
        <f t="shared" ref="AP20" si="27">AO20+AP19</f>
        <v>145402.17830952691</v>
      </c>
      <c r="AQ20" s="404">
        <f t="shared" ref="AQ20" si="28">AP20+AQ19</f>
        <v>157076.69614047959</v>
      </c>
      <c r="AR20" s="404">
        <f t="shared" ref="AR20" si="29">AQ20+AR19</f>
        <v>169751.9990878609</v>
      </c>
      <c r="AS20" s="406">
        <f t="shared" ref="AS20" si="30">AR20+AS19</f>
        <v>183528.16566331364</v>
      </c>
      <c r="AT20" s="69"/>
    </row>
    <row r="21" spans="1:68" s="66" customFormat="1" x14ac:dyDescent="0.3">
      <c r="A21" s="194" t="s">
        <v>99</v>
      </c>
      <c r="B21" s="465">
        <f>AVERAGE(G21:R21)</f>
        <v>475.58333333333331</v>
      </c>
      <c r="C21" s="403">
        <f>C22</f>
        <v>700</v>
      </c>
      <c r="D21" s="403">
        <f>D22-C22</f>
        <v>317</v>
      </c>
      <c r="E21" s="403">
        <f>E22-D22</f>
        <v>674</v>
      </c>
      <c r="F21" s="403">
        <f t="shared" ref="F21:O21" si="31">F22-E22</f>
        <v>965</v>
      </c>
      <c r="G21" s="403">
        <f t="shared" si="31"/>
        <v>629</v>
      </c>
      <c r="H21" s="403">
        <f t="shared" si="31"/>
        <v>584</v>
      </c>
      <c r="I21" s="403">
        <f t="shared" si="31"/>
        <v>85</v>
      </c>
      <c r="J21" s="403">
        <f t="shared" si="31"/>
        <v>90</v>
      </c>
      <c r="K21" s="403">
        <f t="shared" si="31"/>
        <v>563</v>
      </c>
      <c r="L21" s="403">
        <f t="shared" si="31"/>
        <v>905</v>
      </c>
      <c r="M21" s="403">
        <f t="shared" si="31"/>
        <v>428</v>
      </c>
      <c r="N21" s="403">
        <f t="shared" si="31"/>
        <v>505</v>
      </c>
      <c r="O21" s="403">
        <f t="shared" si="31"/>
        <v>240</v>
      </c>
      <c r="P21" s="403">
        <v>473</v>
      </c>
      <c r="Q21" s="403">
        <v>352</v>
      </c>
      <c r="R21" s="403">
        <v>853</v>
      </c>
      <c r="S21" s="407">
        <f>$B$47*S19</f>
        <v>180</v>
      </c>
      <c r="T21" s="403">
        <f>$B$47*T19</f>
        <v>180</v>
      </c>
      <c r="U21" s="408">
        <f>$B$47*U19</f>
        <v>180</v>
      </c>
      <c r="V21" s="409">
        <f>SUM(J21:L21)</f>
        <v>1558</v>
      </c>
      <c r="W21" s="409">
        <f>SUM(M21:O21)</f>
        <v>1173</v>
      </c>
      <c r="X21" s="409">
        <f>SUM(P21:R21)</f>
        <v>1678</v>
      </c>
      <c r="Y21" s="409">
        <f>SUM(S21:U21)</f>
        <v>540</v>
      </c>
      <c r="Z21" s="410">
        <f t="shared" ref="Z21:AS21" si="32">Z19*$B$47</f>
        <v>2271.5</v>
      </c>
      <c r="AA21" s="409">
        <f t="shared" si="32"/>
        <v>1790.9</v>
      </c>
      <c r="AB21" s="409">
        <f t="shared" si="32"/>
        <v>1856.24</v>
      </c>
      <c r="AC21" s="411">
        <f t="shared" si="32"/>
        <v>1928.114</v>
      </c>
      <c r="AD21" s="409">
        <f t="shared" si="32"/>
        <v>1732.1754000000003</v>
      </c>
      <c r="AE21" s="409">
        <f t="shared" si="32"/>
        <v>1819.1429400000002</v>
      </c>
      <c r="AF21" s="409">
        <f t="shared" si="32"/>
        <v>1914.8072340000008</v>
      </c>
      <c r="AG21" s="409">
        <f t="shared" si="32"/>
        <v>2020.0379574000006</v>
      </c>
      <c r="AH21" s="410">
        <f t="shared" si="32"/>
        <v>1892.0417531400008</v>
      </c>
      <c r="AI21" s="409">
        <f t="shared" si="32"/>
        <v>2019.3709284540009</v>
      </c>
      <c r="AJ21" s="409">
        <f t="shared" si="32"/>
        <v>2159.4330212994014</v>
      </c>
      <c r="AK21" s="411">
        <f t="shared" si="32"/>
        <v>2313.5013234293415</v>
      </c>
      <c r="AL21" s="410">
        <f t="shared" si="32"/>
        <v>2395.4764557722756</v>
      </c>
      <c r="AM21" s="409">
        <f t="shared" si="32"/>
        <v>2581.8991013495033</v>
      </c>
      <c r="AN21" s="409">
        <f t="shared" si="32"/>
        <v>2786.9640114844537</v>
      </c>
      <c r="AO21" s="411">
        <f t="shared" si="32"/>
        <v>3012.5354126328994</v>
      </c>
      <c r="AP21" s="410">
        <f t="shared" si="32"/>
        <v>3229.413953896189</v>
      </c>
      <c r="AQ21" s="409">
        <f t="shared" si="32"/>
        <v>3502.3553492858082</v>
      </c>
      <c r="AR21" s="409">
        <f t="shared" si="32"/>
        <v>3802.5908842143899</v>
      </c>
      <c r="AS21" s="411">
        <f t="shared" si="32"/>
        <v>4132.8499726358286</v>
      </c>
      <c r="AT21" s="69"/>
    </row>
    <row r="22" spans="1:68" s="66" customFormat="1" x14ac:dyDescent="0.3">
      <c r="A22" s="194" t="s">
        <v>98</v>
      </c>
      <c r="B22" s="465">
        <f>R22</f>
        <v>8363</v>
      </c>
      <c r="C22" s="77">
        <v>700</v>
      </c>
      <c r="D22" s="77">
        <v>1017</v>
      </c>
      <c r="E22" s="77">
        <v>1691</v>
      </c>
      <c r="F22" s="77">
        <v>2656</v>
      </c>
      <c r="G22" s="77">
        <v>3285</v>
      </c>
      <c r="H22" s="77">
        <v>3869</v>
      </c>
      <c r="I22" s="77">
        <v>3954</v>
      </c>
      <c r="J22" s="77">
        <v>4044</v>
      </c>
      <c r="K22" s="77">
        <v>4607</v>
      </c>
      <c r="L22" s="77">
        <v>5512</v>
      </c>
      <c r="M22" s="77">
        <v>5940</v>
      </c>
      <c r="N22" s="78">
        <v>6445</v>
      </c>
      <c r="O22" s="78">
        <v>6685</v>
      </c>
      <c r="P22" s="78">
        <f>O22+P21</f>
        <v>7158</v>
      </c>
      <c r="Q22" s="78">
        <f t="shared" ref="Q22:R22" si="33">P22+Q21</f>
        <v>7510</v>
      </c>
      <c r="R22" s="78">
        <f t="shared" si="33"/>
        <v>8363</v>
      </c>
      <c r="S22" s="171">
        <f>O22</f>
        <v>6685</v>
      </c>
      <c r="T22" s="78">
        <f>S22+T21</f>
        <v>6865</v>
      </c>
      <c r="U22" s="172">
        <f>T22+U21</f>
        <v>7045</v>
      </c>
      <c r="V22" s="88">
        <f>L22</f>
        <v>5512</v>
      </c>
      <c r="W22" s="88">
        <f>O22</f>
        <v>6685</v>
      </c>
      <c r="X22" s="88">
        <f>R22</f>
        <v>8363</v>
      </c>
      <c r="Y22" s="88">
        <f>U22</f>
        <v>7045</v>
      </c>
      <c r="Z22" s="217">
        <f>U22+Z21</f>
        <v>9316.5</v>
      </c>
      <c r="AA22" s="88">
        <f t="shared" ref="AA22:AS22" si="34">Z22+AA21</f>
        <v>11107.4</v>
      </c>
      <c r="AB22" s="88">
        <f t="shared" si="34"/>
        <v>12963.64</v>
      </c>
      <c r="AC22" s="218">
        <f t="shared" si="34"/>
        <v>14891.753999999999</v>
      </c>
      <c r="AD22" s="88">
        <f t="shared" si="34"/>
        <v>16623.929400000001</v>
      </c>
      <c r="AE22" s="88">
        <f t="shared" si="34"/>
        <v>18443.072340000002</v>
      </c>
      <c r="AF22" s="88">
        <f t="shared" si="34"/>
        <v>20357.879574000002</v>
      </c>
      <c r="AG22" s="88">
        <f t="shared" si="34"/>
        <v>22377.917531400002</v>
      </c>
      <c r="AH22" s="217">
        <f t="shared" si="34"/>
        <v>24269.959284540004</v>
      </c>
      <c r="AI22" s="88">
        <f t="shared" si="34"/>
        <v>26289.330212994006</v>
      </c>
      <c r="AJ22" s="88">
        <f t="shared" si="34"/>
        <v>28448.763234293408</v>
      </c>
      <c r="AK22" s="218">
        <f t="shared" si="34"/>
        <v>30762.264557722749</v>
      </c>
      <c r="AL22" s="217">
        <f t="shared" si="34"/>
        <v>33157.741013495026</v>
      </c>
      <c r="AM22" s="88">
        <f t="shared" si="34"/>
        <v>35739.640114844529</v>
      </c>
      <c r="AN22" s="88">
        <f t="shared" si="34"/>
        <v>38526.604126328981</v>
      </c>
      <c r="AO22" s="218">
        <f t="shared" si="34"/>
        <v>41539.139538961877</v>
      </c>
      <c r="AP22" s="217">
        <f t="shared" si="34"/>
        <v>44768.553492858067</v>
      </c>
      <c r="AQ22" s="88">
        <f t="shared" si="34"/>
        <v>48270.908842143879</v>
      </c>
      <c r="AR22" s="88">
        <f t="shared" si="34"/>
        <v>52073.49972635827</v>
      </c>
      <c r="AS22" s="218">
        <f t="shared" si="34"/>
        <v>56206.349698994098</v>
      </c>
      <c r="AT22" s="69"/>
    </row>
    <row r="23" spans="1:68" s="66" customFormat="1" x14ac:dyDescent="0.3">
      <c r="A23" s="300" t="s">
        <v>165</v>
      </c>
      <c r="B23" s="466">
        <f t="shared" ref="B23" si="35">AVERAGE(G23:R23)</f>
        <v>3843.4166666666665</v>
      </c>
      <c r="C23" s="89">
        <v>242</v>
      </c>
      <c r="D23" s="89">
        <v>527</v>
      </c>
      <c r="E23" s="89">
        <v>1400</v>
      </c>
      <c r="F23" s="89">
        <v>2026</v>
      </c>
      <c r="G23" s="89">
        <v>2161</v>
      </c>
      <c r="H23" s="89">
        <v>3603</v>
      </c>
      <c r="I23" s="89">
        <v>2329</v>
      </c>
      <c r="J23" s="89">
        <v>2478</v>
      </c>
      <c r="K23" s="89">
        <v>3166</v>
      </c>
      <c r="L23" s="89">
        <v>6135</v>
      </c>
      <c r="M23" s="89">
        <v>5252</v>
      </c>
      <c r="N23" s="89">
        <v>4002</v>
      </c>
      <c r="O23" s="89">
        <v>5548</v>
      </c>
      <c r="P23" s="89">
        <v>3432</v>
      </c>
      <c r="Q23" s="89">
        <v>3272</v>
      </c>
      <c r="R23" s="89">
        <v>4743</v>
      </c>
      <c r="S23" s="181">
        <f>ROUND(S21+R23*(1-$B$41),0)</f>
        <v>4449</v>
      </c>
      <c r="T23" s="89">
        <f>ROUND(T21+S23*(1-$B$41),0)</f>
        <v>4184</v>
      </c>
      <c r="U23" s="182">
        <f>ROUND(U21+T23*(1-$B$41),0)</f>
        <v>3946</v>
      </c>
      <c r="V23" s="117">
        <f>AVERAGE(J23:L23)</f>
        <v>3926.3333333333335</v>
      </c>
      <c r="W23" s="117">
        <f>AVERAGE(M23:O23)</f>
        <v>4934</v>
      </c>
      <c r="X23" s="117">
        <f>AVERAGE(P23:R23)</f>
        <v>3815.6666666666665</v>
      </c>
      <c r="Y23" s="117">
        <f>AVERAGE(S23:U23)</f>
        <v>4193</v>
      </c>
      <c r="Z23" s="219">
        <f>2*Z21/3*(1-$B$41)+Y65+X66+W67+V68</f>
        <v>3542.7874494343987</v>
      </c>
      <c r="AA23" s="117">
        <f>2*AA21/3*(1-$B$41)+Z65+Y66+X67+W68+V69</f>
        <v>4319.6014506376769</v>
      </c>
      <c r="AB23" s="117">
        <f>2*AB21/3*(1-$B$41)+AA65+Z66+Y67+X68+W69+V70</f>
        <v>4784.9598975148665</v>
      </c>
      <c r="AC23" s="220">
        <f>2*AC21/3*(1-$B$41)+AB65+AA66+Z67+Y68+X69+W70+V71</f>
        <v>5186.3837492883395</v>
      </c>
      <c r="AD23" s="117">
        <f>2*AD21/3*(1-$B$41)+AC65+AB66+AA67+Z68+Y69+X70+W71+V72</f>
        <v>5382.4170356311997</v>
      </c>
      <c r="AE23" s="117">
        <f>2*AE21/3*(1-$B$41)+AD65+AC66+AB67+AA68+Z69+Y70+X71+W72+V73</f>
        <v>5520.3701296151448</v>
      </c>
      <c r="AF23" s="117">
        <f>2*AF21/3*(1-$B$41)+AE65+AD66+AC67+AB68+AA69+Z70+Y71+X72+W73+V74</f>
        <v>5703.6962461934427</v>
      </c>
      <c r="AG23" s="117">
        <f>2*AG21/3*(1-$B$41)+AF65+AE66+AD67+AC68+AB69+AA70+Z71+Y72+X73+W74+V75</f>
        <v>5928.3751273494199</v>
      </c>
      <c r="AH23" s="219">
        <f>2*AH21/3*(1-$B$41)+AG65+AF66+AE67+AD68+AC69+AB70+AA71+Z72+Y73+X74+W75+V76</f>
        <v>6046.0535880995676</v>
      </c>
      <c r="AI23" s="117">
        <f>2*AI21/3*(1-$B$41)+AH65+AG66+AF67+AE68+AD69+AC70+AB71+AA72+Z73+Y74+X75+W76+V77</f>
        <v>6170.9149980126112</v>
      </c>
      <c r="AJ23" s="117">
        <f>2*AJ21/3*(1-$B$41)+AI65+AH66+AG67+AF68+AE69+AD70+AC71+AB72+AA73+Z74+Y75+X76+W77+V78</f>
        <v>6383.1054090680236</v>
      </c>
      <c r="AK23" s="220">
        <f t="shared" ref="AK23:AS23" si="36">2*AK21/3*(1-$B$41)+AJ65+AI66+AH67+AG68+AF69+AE70+AD71+AC72+AB73+AA74+Z75+Y76+X77+W78+V79</f>
        <v>6671.0753062791</v>
      </c>
      <c r="AL23" s="219">
        <f t="shared" si="36"/>
        <v>6965.2036937355351</v>
      </c>
      <c r="AM23" s="117">
        <f t="shared" si="36"/>
        <v>7317.8304580236509</v>
      </c>
      <c r="AN23" s="117">
        <f t="shared" si="36"/>
        <v>7749.0820025732037</v>
      </c>
      <c r="AO23" s="220">
        <f t="shared" si="36"/>
        <v>8265.8448830662583</v>
      </c>
      <c r="AP23" s="219">
        <f t="shared" si="36"/>
        <v>8827.4517784372292</v>
      </c>
      <c r="AQ23" s="117">
        <f t="shared" si="36"/>
        <v>9466.9277316518219</v>
      </c>
      <c r="AR23" s="117">
        <f t="shared" si="36"/>
        <v>10192.420995531302</v>
      </c>
      <c r="AS23" s="220">
        <f t="shared" si="36"/>
        <v>11006.552408284082</v>
      </c>
    </row>
    <row r="24" spans="1:68" s="66" customFormat="1" x14ac:dyDescent="0.3">
      <c r="A24" s="90"/>
      <c r="B24" s="215"/>
      <c r="C24" s="76"/>
      <c r="D24" s="76"/>
      <c r="E24" s="76"/>
      <c r="F24" s="91"/>
      <c r="G24" s="91"/>
      <c r="H24" s="91"/>
      <c r="I24" s="91"/>
      <c r="J24" s="91"/>
      <c r="K24" s="91"/>
      <c r="L24" s="91"/>
      <c r="M24" s="91"/>
      <c r="N24" s="91"/>
      <c r="O24" s="91"/>
      <c r="P24" s="91"/>
      <c r="Q24" s="91"/>
      <c r="R24" s="91"/>
      <c r="S24" s="130"/>
      <c r="T24" s="130"/>
      <c r="U24" s="130"/>
      <c r="V24" s="114"/>
      <c r="W24" s="114"/>
      <c r="X24" s="114"/>
      <c r="Y24" s="114"/>
      <c r="Z24" s="114"/>
      <c r="AA24" s="114"/>
      <c r="AB24" s="114"/>
      <c r="AC24" s="114"/>
      <c r="AD24" s="91"/>
      <c r="AE24" s="91"/>
      <c r="AF24" s="91"/>
      <c r="AG24" s="91"/>
      <c r="AH24" s="91"/>
      <c r="AI24" s="91"/>
      <c r="AJ24" s="91"/>
      <c r="AK24" s="91"/>
      <c r="AL24" s="91"/>
      <c r="AM24" s="130"/>
      <c r="AN24" s="91"/>
      <c r="AO24" s="91"/>
      <c r="AP24" s="91"/>
      <c r="AQ24" s="91"/>
      <c r="AR24" s="91"/>
      <c r="AS24" s="91"/>
    </row>
    <row r="25" spans="1:68" ht="15.75" customHeight="1" x14ac:dyDescent="0.3">
      <c r="A25" s="195" t="s">
        <v>7</v>
      </c>
      <c r="B25" s="213">
        <f>AVERAGE(G25:R25)</f>
        <v>570209.86483293737</v>
      </c>
      <c r="C25" s="74">
        <v>24164.807243199881</v>
      </c>
      <c r="D25" s="74">
        <v>57339.278571199386</v>
      </c>
      <c r="E25" s="74">
        <v>150929.281830803</v>
      </c>
      <c r="F25" s="74">
        <v>183361.11649119697</v>
      </c>
      <c r="G25" s="74">
        <v>300979.63097588607</v>
      </c>
      <c r="H25" s="74">
        <v>668439.86265987018</v>
      </c>
      <c r="I25" s="74">
        <v>595046.89381821244</v>
      </c>
      <c r="J25" s="74">
        <v>501160.61560062855</v>
      </c>
      <c r="K25" s="74">
        <v>420449.270320429</v>
      </c>
      <c r="L25" s="74">
        <v>854032</v>
      </c>
      <c r="M25" s="416">
        <v>318460</v>
      </c>
      <c r="N25" s="416">
        <v>739254.65237380296</v>
      </c>
      <c r="O25" s="416">
        <v>1004189.0990467144</v>
      </c>
      <c r="P25" s="416">
        <v>598078.57728431688</v>
      </c>
      <c r="Q25" s="416">
        <v>348945.24059113773</v>
      </c>
      <c r="R25" s="93">
        <v>493482.53532425046</v>
      </c>
      <c r="S25" s="183">
        <f>S23*S10*S9</f>
        <v>730748.25</v>
      </c>
      <c r="T25" s="93">
        <f>T23*T10*T9</f>
        <v>687222</v>
      </c>
      <c r="U25" s="184">
        <f>U23*U10*U9</f>
        <v>648130.5</v>
      </c>
      <c r="V25" s="183">
        <f>SUM(J25:L25)</f>
        <v>1775641.8859210575</v>
      </c>
      <c r="W25" s="93">
        <f>SUM(M25:O25)</f>
        <v>2061903.7514205172</v>
      </c>
      <c r="X25" s="93">
        <f>SUM(P25:R25)</f>
        <v>1440506.353199705</v>
      </c>
      <c r="Y25" s="184">
        <f>SUM(S25:U25)</f>
        <v>2066100.75</v>
      </c>
      <c r="Z25" s="183">
        <f t="shared" ref="Z25:AS25" si="37">Z23*Z10*Z9*3</f>
        <v>1745708.5157087999</v>
      </c>
      <c r="AA25" s="93">
        <f t="shared" si="37"/>
        <v>2128483.6148017151</v>
      </c>
      <c r="AB25" s="93">
        <f t="shared" si="37"/>
        <v>2357788.9895004504</v>
      </c>
      <c r="AC25" s="184">
        <f t="shared" si="37"/>
        <v>2555590.5924618291</v>
      </c>
      <c r="AD25" s="183">
        <f t="shared" si="37"/>
        <v>2652185.9943072735</v>
      </c>
      <c r="AE25" s="93">
        <f t="shared" si="37"/>
        <v>2720162.3813678627</v>
      </c>
      <c r="AF25" s="93">
        <f t="shared" si="37"/>
        <v>2810496.3253118191</v>
      </c>
      <c r="AG25" s="184">
        <f t="shared" si="37"/>
        <v>2921206.8440014268</v>
      </c>
      <c r="AH25" s="183">
        <f t="shared" si="37"/>
        <v>2979192.9055360616</v>
      </c>
      <c r="AI25" s="93">
        <f t="shared" si="37"/>
        <v>3040718.3652707138</v>
      </c>
      <c r="AJ25" s="93">
        <f t="shared" si="37"/>
        <v>3145275.1903182687</v>
      </c>
      <c r="AK25" s="184">
        <f t="shared" si="37"/>
        <v>3287172.3571690265</v>
      </c>
      <c r="AL25" s="183">
        <f t="shared" si="37"/>
        <v>3432104.1200881852</v>
      </c>
      <c r="AM25" s="93">
        <f t="shared" si="37"/>
        <v>3605860.9581911536</v>
      </c>
      <c r="AN25" s="93">
        <f t="shared" si="37"/>
        <v>3818360.1567679457</v>
      </c>
      <c r="AO25" s="184">
        <f t="shared" si="37"/>
        <v>4072995.0661308984</v>
      </c>
      <c r="AP25" s="183">
        <f t="shared" si="37"/>
        <v>4349726.8638249449</v>
      </c>
      <c r="AQ25" s="93">
        <f t="shared" si="37"/>
        <v>4664828.6397714354</v>
      </c>
      <c r="AR25" s="93">
        <f t="shared" si="37"/>
        <v>5022315.4455480492</v>
      </c>
      <c r="AS25" s="184">
        <f t="shared" si="37"/>
        <v>5423478.6991819814</v>
      </c>
      <c r="AT25" s="66"/>
      <c r="AU25" s="66"/>
      <c r="AV25" s="66"/>
      <c r="AW25" s="66"/>
      <c r="AX25" s="66"/>
      <c r="AY25" s="66"/>
      <c r="AZ25" s="66"/>
      <c r="BA25" s="66"/>
      <c r="BB25" s="66"/>
      <c r="BC25" s="66"/>
      <c r="BD25" s="66"/>
      <c r="BE25" s="66"/>
      <c r="BF25" s="66"/>
      <c r="BG25" s="66"/>
      <c r="BH25" s="66"/>
      <c r="BI25" s="66"/>
      <c r="BJ25" s="66"/>
      <c r="BK25" s="66"/>
      <c r="BL25" s="66"/>
      <c r="BM25" s="66"/>
      <c r="BN25" s="66"/>
      <c r="BO25" s="66"/>
      <c r="BP25" s="66"/>
    </row>
    <row r="26" spans="1:68" ht="15.75" customHeight="1" x14ac:dyDescent="0.3">
      <c r="A26" s="68" t="s">
        <v>4</v>
      </c>
      <c r="B26" s="196">
        <f>AVERAGE(G26:R26)</f>
        <v>1492803.5079428907</v>
      </c>
      <c r="C26" s="75">
        <v>544282.81571428594</v>
      </c>
      <c r="D26" s="75">
        <v>847525.21607142803</v>
      </c>
      <c r="E26" s="75">
        <v>2218270.9257142898</v>
      </c>
      <c r="F26" s="75">
        <v>2578000</v>
      </c>
      <c r="G26" s="75">
        <v>2263357.7845454556</v>
      </c>
      <c r="H26" s="75">
        <v>1348554.86</v>
      </c>
      <c r="I26" s="75">
        <v>1073739.0007692308</v>
      </c>
      <c r="J26" s="75">
        <v>1056746.5900000001</v>
      </c>
      <c r="K26" s="75">
        <v>1893138</v>
      </c>
      <c r="L26" s="75">
        <v>2218740</v>
      </c>
      <c r="M26" s="417">
        <v>1387105.25</v>
      </c>
      <c r="N26" s="417">
        <v>1731481.34</v>
      </c>
      <c r="O26" s="417">
        <v>1468979.96</v>
      </c>
      <c r="P26" s="417">
        <v>1000953.48</v>
      </c>
      <c r="Q26" s="417">
        <v>1166081.47</v>
      </c>
      <c r="R26" s="79">
        <v>1304764.3600000001</v>
      </c>
      <c r="S26" s="185">
        <f>S21*$B$46</f>
        <v>234000</v>
      </c>
      <c r="T26" s="79">
        <f>T21*$B$46</f>
        <v>234000</v>
      </c>
      <c r="U26" s="79">
        <f>U21*$B$46</f>
        <v>234000</v>
      </c>
      <c r="V26" s="185">
        <f>SUM(J26:L26)</f>
        <v>5168624.59</v>
      </c>
      <c r="W26" s="79">
        <f>SUM(M26:O26)</f>
        <v>4587566.55</v>
      </c>
      <c r="X26" s="79">
        <f>SUM(P26:R26)</f>
        <v>3471799.3100000005</v>
      </c>
      <c r="Y26" s="186">
        <f>SUM(S26:U26)</f>
        <v>702000</v>
      </c>
      <c r="Z26" s="185">
        <f t="shared" ref="Z26:AS26" si="38">Z21*$B$46</f>
        <v>2952950</v>
      </c>
      <c r="AA26" s="79">
        <f t="shared" si="38"/>
        <v>2328170</v>
      </c>
      <c r="AB26" s="79">
        <f t="shared" si="38"/>
        <v>2413112</v>
      </c>
      <c r="AC26" s="79">
        <f t="shared" si="38"/>
        <v>2506548.2000000002</v>
      </c>
      <c r="AD26" s="185">
        <f t="shared" si="38"/>
        <v>2251828.0200000005</v>
      </c>
      <c r="AE26" s="79">
        <f t="shared" si="38"/>
        <v>2364885.8220000002</v>
      </c>
      <c r="AF26" s="79">
        <f t="shared" si="38"/>
        <v>2489249.4042000012</v>
      </c>
      <c r="AG26" s="79">
        <f t="shared" si="38"/>
        <v>2626049.3446200006</v>
      </c>
      <c r="AH26" s="185">
        <f t="shared" si="38"/>
        <v>2459654.2790820012</v>
      </c>
      <c r="AI26" s="79">
        <f t="shared" si="38"/>
        <v>2625182.206990201</v>
      </c>
      <c r="AJ26" s="79">
        <f t="shared" si="38"/>
        <v>2807262.9276892217</v>
      </c>
      <c r="AK26" s="79">
        <f t="shared" si="38"/>
        <v>3007551.7204581439</v>
      </c>
      <c r="AL26" s="185">
        <f t="shared" si="38"/>
        <v>3114119.3925039582</v>
      </c>
      <c r="AM26" s="79">
        <f t="shared" si="38"/>
        <v>3356468.8317543543</v>
      </c>
      <c r="AN26" s="79">
        <f t="shared" si="38"/>
        <v>3623053.2149297898</v>
      </c>
      <c r="AO26" s="79">
        <f t="shared" si="38"/>
        <v>3916296.0364227691</v>
      </c>
      <c r="AP26" s="185">
        <f t="shared" si="38"/>
        <v>4198238.140065046</v>
      </c>
      <c r="AQ26" s="79">
        <f t="shared" si="38"/>
        <v>4553061.9540715506</v>
      </c>
      <c r="AR26" s="79">
        <f t="shared" si="38"/>
        <v>4943368.1494787065</v>
      </c>
      <c r="AS26" s="186">
        <f t="shared" si="38"/>
        <v>5372704.9644265771</v>
      </c>
      <c r="AT26" s="66"/>
      <c r="AU26" s="66"/>
      <c r="AV26" s="66"/>
      <c r="AW26" s="66"/>
      <c r="AX26" s="66"/>
      <c r="AY26" s="66"/>
      <c r="AZ26" s="66"/>
      <c r="BA26" s="66"/>
      <c r="BB26" s="66"/>
      <c r="BC26" s="66"/>
      <c r="BD26" s="66"/>
      <c r="BE26" s="66"/>
      <c r="BF26" s="66"/>
      <c r="BG26" s="66"/>
      <c r="BH26" s="66"/>
      <c r="BI26" s="66"/>
      <c r="BJ26" s="66"/>
      <c r="BK26" s="66"/>
      <c r="BL26" s="66"/>
      <c r="BM26" s="66"/>
      <c r="BN26" s="66"/>
      <c r="BO26" s="66"/>
      <c r="BP26" s="66"/>
    </row>
    <row r="27" spans="1:68" ht="15.75" customHeight="1" x14ac:dyDescent="0.3">
      <c r="A27" s="68" t="s">
        <v>5</v>
      </c>
      <c r="B27" s="196"/>
      <c r="C27" s="75">
        <f>C26</f>
        <v>544282.81571428594</v>
      </c>
      <c r="D27" s="75">
        <f>C27+D26</f>
        <v>1391808.031785714</v>
      </c>
      <c r="E27" s="75">
        <f t="shared" ref="E27" si="39">D27+E26</f>
        <v>3610078.9575000037</v>
      </c>
      <c r="F27" s="75">
        <f t="shared" ref="F27" si="40">E27+F26</f>
        <v>6188078.9575000033</v>
      </c>
      <c r="G27" s="75">
        <f t="shared" ref="G27" si="41">F27+G26</f>
        <v>8451436.7420454584</v>
      </c>
      <c r="H27" s="75">
        <f t="shared" ref="H27" si="42">G27+H26</f>
        <v>9799991.6020454578</v>
      </c>
      <c r="I27" s="75">
        <f t="shared" ref="I27" si="43">H27+I26</f>
        <v>10873730.602814689</v>
      </c>
      <c r="J27" s="75">
        <f t="shared" ref="J27" si="44">I27+J26</f>
        <v>11930477.192814689</v>
      </c>
      <c r="K27" s="75">
        <f t="shared" ref="K27" si="45">J27+K26</f>
        <v>13823615.192814689</v>
      </c>
      <c r="L27" s="75">
        <f t="shared" ref="L27" si="46">K27+L26</f>
        <v>16042355.192814689</v>
      </c>
      <c r="M27" s="417">
        <f t="shared" ref="M27" si="47">L27+M26</f>
        <v>17429460.442814689</v>
      </c>
      <c r="N27" s="417">
        <f t="shared" ref="N27" si="48">M27+N26</f>
        <v>19160941.782814689</v>
      </c>
      <c r="O27" s="417">
        <f>N27+O26</f>
        <v>20629921.74281469</v>
      </c>
      <c r="P27" s="417">
        <f t="shared" ref="P27" si="49">O27+P26</f>
        <v>21630875.22281469</v>
      </c>
      <c r="Q27" s="417">
        <f t="shared" ref="Q27" si="50">P27+Q26</f>
        <v>22796956.692814689</v>
      </c>
      <c r="R27" s="79">
        <f t="shared" ref="R27" si="51">Q27+R26</f>
        <v>24101721.052814689</v>
      </c>
      <c r="S27" s="185">
        <f>R27+S26</f>
        <v>24335721.052814689</v>
      </c>
      <c r="T27" s="79">
        <f>S27+T26</f>
        <v>24569721.052814689</v>
      </c>
      <c r="U27" s="186">
        <f>T27+U26</f>
        <v>24803721.052814689</v>
      </c>
      <c r="V27" s="185">
        <f>L27</f>
        <v>16042355.192814689</v>
      </c>
      <c r="W27" s="79">
        <f>O27</f>
        <v>20629921.74281469</v>
      </c>
      <c r="X27" s="79">
        <f>R27</f>
        <v>24101721.052814689</v>
      </c>
      <c r="Y27" s="186">
        <f>U27</f>
        <v>24803721.052814689</v>
      </c>
      <c r="Z27" s="185">
        <f>Y27+Z26</f>
        <v>27756671.052814689</v>
      </c>
      <c r="AA27" s="79">
        <f t="shared" ref="AA27:AG29" si="52">Z27+AA26</f>
        <v>30084841.052814689</v>
      </c>
      <c r="AB27" s="79">
        <f t="shared" si="52"/>
        <v>32497953.052814689</v>
      </c>
      <c r="AC27" s="186">
        <f t="shared" si="52"/>
        <v>35004501.252814688</v>
      </c>
      <c r="AD27" s="185">
        <f t="shared" si="52"/>
        <v>37256329.272814691</v>
      </c>
      <c r="AE27" s="79">
        <f t="shared" si="52"/>
        <v>39621215.094814688</v>
      </c>
      <c r="AF27" s="79">
        <f t="shared" si="52"/>
        <v>42110464.499014691</v>
      </c>
      <c r="AG27" s="186">
        <f t="shared" si="52"/>
        <v>44736513.843634695</v>
      </c>
      <c r="AH27" s="185">
        <f t="shared" ref="AH27" si="53">AG27+AH26</f>
        <v>47196168.122716695</v>
      </c>
      <c r="AI27" s="79">
        <f t="shared" ref="AI27" si="54">AH27+AI26</f>
        <v>49821350.329706892</v>
      </c>
      <c r="AJ27" s="79">
        <f t="shared" ref="AJ27" si="55">AI27+AJ26</f>
        <v>52628613.257396117</v>
      </c>
      <c r="AK27" s="186">
        <f t="shared" ref="AK27" si="56">AJ27+AK26</f>
        <v>55636164.977854259</v>
      </c>
      <c r="AL27" s="185">
        <f t="shared" ref="AL27" si="57">AK27+AL26</f>
        <v>58750284.370358214</v>
      </c>
      <c r="AM27" s="79">
        <f t="shared" ref="AM27" si="58">AL27+AM26</f>
        <v>62106753.20211257</v>
      </c>
      <c r="AN27" s="79">
        <f t="shared" ref="AN27" si="59">AM27+AN26</f>
        <v>65729806.41704236</v>
      </c>
      <c r="AO27" s="186">
        <f t="shared" ref="AO27" si="60">AN27+AO26</f>
        <v>69646102.453465134</v>
      </c>
      <c r="AP27" s="185">
        <f t="shared" ref="AP27" si="61">AO27+AP26</f>
        <v>73844340.593530178</v>
      </c>
      <c r="AQ27" s="79">
        <f t="shared" ref="AQ27" si="62">AP27+AQ26</f>
        <v>78397402.54760173</v>
      </c>
      <c r="AR27" s="79">
        <f t="shared" ref="AR27" si="63">AQ27+AR26</f>
        <v>83340770.697080433</v>
      </c>
      <c r="AS27" s="186">
        <f t="shared" ref="AS27" si="64">AR27+AS26</f>
        <v>88713475.66150701</v>
      </c>
      <c r="AT27" s="66"/>
      <c r="AU27" s="66"/>
      <c r="AV27" s="66"/>
      <c r="AW27" s="66"/>
      <c r="AX27" s="66"/>
      <c r="AY27" s="66"/>
      <c r="AZ27" s="66"/>
      <c r="BA27" s="66"/>
      <c r="BB27" s="66"/>
      <c r="BC27" s="66"/>
      <c r="BD27" s="66"/>
      <c r="BE27" s="66"/>
      <c r="BF27" s="66"/>
      <c r="BG27" s="66"/>
      <c r="BH27" s="66"/>
      <c r="BI27" s="66"/>
      <c r="BJ27" s="66"/>
      <c r="BK27" s="66"/>
      <c r="BL27" s="66"/>
      <c r="BM27" s="66"/>
      <c r="BN27" s="66"/>
      <c r="BO27" s="66"/>
      <c r="BP27" s="66"/>
    </row>
    <row r="28" spans="1:68" ht="15" customHeight="1" x14ac:dyDescent="0.3">
      <c r="A28" s="68" t="s">
        <v>6</v>
      </c>
      <c r="B28" s="196">
        <f>AVERAGE(G28:R28)</f>
        <v>-461172.96355251229</v>
      </c>
      <c r="C28" s="75">
        <v>-13939.6971428571</v>
      </c>
      <c r="D28" s="75">
        <v>-50548.06</v>
      </c>
      <c r="E28" s="75">
        <v>-128877.04035714301</v>
      </c>
      <c r="F28" s="75">
        <v>-394158.78</v>
      </c>
      <c r="G28" s="75">
        <v>-426076.121818182</v>
      </c>
      <c r="H28" s="75">
        <v>-564183.74</v>
      </c>
      <c r="I28" s="75">
        <v>-331642.70961538469</v>
      </c>
      <c r="J28" s="75">
        <v>-272243.26</v>
      </c>
      <c r="K28" s="75">
        <v>-443812.58</v>
      </c>
      <c r="L28" s="75">
        <v>-461408.13</v>
      </c>
      <c r="M28" s="187">
        <v>-364169.92</v>
      </c>
      <c r="N28" s="188">
        <v>-580501.6</v>
      </c>
      <c r="O28" s="188">
        <v>-478713.55</v>
      </c>
      <c r="P28" s="188">
        <v>-434529.12</v>
      </c>
      <c r="Q28" s="188">
        <v>-389052.25</v>
      </c>
      <c r="R28" s="188">
        <v>-787742.58119658136</v>
      </c>
      <c r="S28" s="187">
        <f>-$B$45*AVERAGE(S26,R26)</f>
        <v>-244993.43651279598</v>
      </c>
      <c r="T28" s="188">
        <f>-$B$45*AVERAGE(T26,S26)</f>
        <v>-74512.336825885737</v>
      </c>
      <c r="U28" s="295">
        <f>-$B$45*AVERAGE(U26,T26)</f>
        <v>-74512.336825885737</v>
      </c>
      <c r="V28" s="185">
        <f>SUM(J28:L28)</f>
        <v>-1177463.9700000002</v>
      </c>
      <c r="W28" s="79">
        <f>SUM(M28:O28)</f>
        <v>-1423385.07</v>
      </c>
      <c r="X28" s="79">
        <f>SUM(P28:R28)</f>
        <v>-1611323.9511965814</v>
      </c>
      <c r="Y28" s="186">
        <f>SUM(S28:U28)</f>
        <v>-394018.11016456748</v>
      </c>
      <c r="Z28" s="185">
        <f>-$B$45*AVERAGE(Z26)</f>
        <v>-940304.29499999702</v>
      </c>
      <c r="AA28" s="79">
        <f>-$B$45*AVERAGE(AA26)</f>
        <v>-741356.35567488207</v>
      </c>
      <c r="AB28" s="79">
        <f>-$B$45*AVERAGE(AB26)</f>
        <v>-768404.33394267864</v>
      </c>
      <c r="AC28" s="186">
        <f>-$B$45*AVERAGE(AC26)</f>
        <v>-798157.11003725487</v>
      </c>
      <c r="AD28" s="185">
        <f t="shared" ref="AD28:AS28" si="65">-$B$45*AVERAGE(AD26,AC26)</f>
        <v>-757601.9907028313</v>
      </c>
      <c r="AE28" s="79">
        <f t="shared" si="65"/>
        <v>-735047.30090562627</v>
      </c>
      <c r="AF28" s="79">
        <f t="shared" si="65"/>
        <v>-772848.20293378539</v>
      </c>
      <c r="AG28" s="186">
        <f t="shared" si="65"/>
        <v>-814429.19516476034</v>
      </c>
      <c r="AH28" s="185">
        <f t="shared" si="65"/>
        <v>-809717.22522630601</v>
      </c>
      <c r="AI28" s="79">
        <f t="shared" si="65"/>
        <v>-809579.16443325905</v>
      </c>
      <c r="AJ28" s="79">
        <f t="shared" si="65"/>
        <v>-864923.4650926867</v>
      </c>
      <c r="AK28" s="186">
        <f t="shared" si="65"/>
        <v>-925802.19581805717</v>
      </c>
      <c r="AL28" s="185">
        <f t="shared" si="65"/>
        <v>-974658.16219300649</v>
      </c>
      <c r="AM28" s="79">
        <f t="shared" si="65"/>
        <v>-1030210.7889477464</v>
      </c>
      <c r="AN28" s="79">
        <f t="shared" si="65"/>
        <v>-1111240.3795432146</v>
      </c>
      <c r="AO28" s="186">
        <f t="shared" si="65"/>
        <v>-1200372.9291982295</v>
      </c>
      <c r="AP28" s="185">
        <f t="shared" si="65"/>
        <v>-1291950.6490248321</v>
      </c>
      <c r="AQ28" s="79">
        <f t="shared" si="65"/>
        <v>-1393332.9493134865</v>
      </c>
      <c r="AR28" s="79">
        <f t="shared" si="65"/>
        <v>-1511968.3729043116</v>
      </c>
      <c r="AS28" s="186">
        <f t="shared" si="65"/>
        <v>-1642467.3388542191</v>
      </c>
      <c r="AT28" s="66"/>
      <c r="AU28" s="66"/>
      <c r="AV28" s="66"/>
      <c r="AW28" s="66"/>
      <c r="AX28" s="66"/>
      <c r="AY28" s="66"/>
      <c r="AZ28" s="66"/>
      <c r="BA28" s="66"/>
      <c r="BB28" s="66"/>
      <c r="BC28" s="66"/>
      <c r="BD28" s="66"/>
      <c r="BE28" s="66"/>
      <c r="BF28" s="66"/>
      <c r="BG28" s="66"/>
      <c r="BH28" s="66"/>
      <c r="BI28" s="66"/>
      <c r="BJ28" s="66"/>
      <c r="BK28" s="66"/>
      <c r="BL28" s="66"/>
      <c r="BM28" s="66"/>
      <c r="BN28" s="66"/>
      <c r="BO28" s="66"/>
      <c r="BP28" s="66"/>
    </row>
    <row r="29" spans="1:68" ht="15.75" customHeight="1" x14ac:dyDescent="0.3">
      <c r="A29" s="68" t="s">
        <v>13</v>
      </c>
      <c r="B29" s="196"/>
      <c r="C29" s="75">
        <f>C28</f>
        <v>-13939.6971428571</v>
      </c>
      <c r="D29" s="75">
        <f>C29+D28</f>
        <v>-64487.757142857095</v>
      </c>
      <c r="E29" s="75">
        <f t="shared" ref="E29" si="66">D29+E28</f>
        <v>-193364.7975000001</v>
      </c>
      <c r="F29" s="75">
        <f t="shared" ref="F29" si="67">E29+F28</f>
        <v>-587523.57750000013</v>
      </c>
      <c r="G29" s="75">
        <f t="shared" ref="G29" si="68">F29+G28</f>
        <v>-1013599.6993181822</v>
      </c>
      <c r="H29" s="75">
        <f t="shared" ref="H29" si="69">G29+H28</f>
        <v>-1577783.4393181822</v>
      </c>
      <c r="I29" s="75">
        <f t="shared" ref="I29" si="70">H29+I28</f>
        <v>-1909426.1489335669</v>
      </c>
      <c r="J29" s="75">
        <f t="shared" ref="J29" si="71">I29+J28</f>
        <v>-2181669.4089335669</v>
      </c>
      <c r="K29" s="75">
        <f t="shared" ref="K29" si="72">J29+K28</f>
        <v>-2625481.988933567</v>
      </c>
      <c r="L29" s="75">
        <f t="shared" ref="L29" si="73">K29+L28</f>
        <v>-3086890.1189335668</v>
      </c>
      <c r="M29" s="185">
        <f t="shared" ref="M29" si="74">L29+M28</f>
        <v>-3451060.0389335668</v>
      </c>
      <c r="N29" s="79">
        <f t="shared" ref="N29" si="75">M29+N28</f>
        <v>-4031561.6389335669</v>
      </c>
      <c r="O29" s="79">
        <f>N29+O28</f>
        <v>-4510275.1889335671</v>
      </c>
      <c r="P29" s="79">
        <f t="shared" ref="P29" si="76">O29+P28</f>
        <v>-4944804.3089335673</v>
      </c>
      <c r="Q29" s="79">
        <f>P29+Q28</f>
        <v>-5333856.5589335673</v>
      </c>
      <c r="R29" s="79">
        <f>Q29+R28</f>
        <v>-6121599.1401301483</v>
      </c>
      <c r="S29" s="185">
        <f>R29+S28</f>
        <v>-6366592.5766429445</v>
      </c>
      <c r="T29" s="79">
        <f t="shared" ref="T29:U29" si="77">S29+T28</f>
        <v>-6441104.9134688303</v>
      </c>
      <c r="U29" s="186">
        <f t="shared" si="77"/>
        <v>-6515617.2502947161</v>
      </c>
      <c r="V29" s="185">
        <f>L29</f>
        <v>-3086890.1189335668</v>
      </c>
      <c r="W29" s="79">
        <f>O29</f>
        <v>-4510275.1889335671</v>
      </c>
      <c r="X29" s="79">
        <f>R29</f>
        <v>-6121599.1401301483</v>
      </c>
      <c r="Y29" s="186">
        <f>U29</f>
        <v>-6515617.2502947161</v>
      </c>
      <c r="Z29" s="185">
        <f>Y29+Z28</f>
        <v>-7455921.5452947132</v>
      </c>
      <c r="AA29" s="79">
        <f t="shared" si="52"/>
        <v>-8197277.9009695956</v>
      </c>
      <c r="AB29" s="79">
        <f t="shared" si="52"/>
        <v>-8965682.2349122744</v>
      </c>
      <c r="AC29" s="186">
        <f t="shared" si="52"/>
        <v>-9763839.3449495286</v>
      </c>
      <c r="AD29" s="185">
        <f>AC29+AD28</f>
        <v>-10521441.335652361</v>
      </c>
      <c r="AE29" s="79">
        <f t="shared" ref="AE29" si="78">AD29+AE28</f>
        <v>-11256488.636557987</v>
      </c>
      <c r="AF29" s="79">
        <f t="shared" ref="AF29" si="79">AE29+AF28</f>
        <v>-12029336.839491772</v>
      </c>
      <c r="AG29" s="186">
        <f t="shared" ref="AG29" si="80">AF29+AG28</f>
        <v>-12843766.034656532</v>
      </c>
      <c r="AH29" s="185">
        <f t="shared" ref="AH29" si="81">AG29+AH28</f>
        <v>-13653483.259882838</v>
      </c>
      <c r="AI29" s="79">
        <f t="shared" ref="AI29" si="82">AH29+AI28</f>
        <v>-14463062.424316097</v>
      </c>
      <c r="AJ29" s="79">
        <f t="shared" ref="AJ29" si="83">AI29+AJ28</f>
        <v>-15327985.889408784</v>
      </c>
      <c r="AK29" s="186">
        <f t="shared" ref="AK29" si="84">AJ29+AK28</f>
        <v>-16253788.085226841</v>
      </c>
      <c r="AL29" s="185">
        <f t="shared" ref="AL29" si="85">AK29+AL28</f>
        <v>-17228446.247419849</v>
      </c>
      <c r="AM29" s="79">
        <f t="shared" ref="AM29" si="86">AL29+AM28</f>
        <v>-18258657.036367595</v>
      </c>
      <c r="AN29" s="79">
        <f t="shared" ref="AN29" si="87">AM29+AN28</f>
        <v>-19369897.41591081</v>
      </c>
      <c r="AO29" s="186">
        <f t="shared" ref="AO29" si="88">AN29+AO28</f>
        <v>-20570270.345109038</v>
      </c>
      <c r="AP29" s="185">
        <f t="shared" ref="AP29" si="89">AO29+AP28</f>
        <v>-21862220.994133871</v>
      </c>
      <c r="AQ29" s="79">
        <f t="shared" ref="AQ29" si="90">AP29+AQ28</f>
        <v>-23255553.943447359</v>
      </c>
      <c r="AR29" s="79">
        <f t="shared" ref="AR29" si="91">AQ29+AR28</f>
        <v>-24767522.316351671</v>
      </c>
      <c r="AS29" s="186">
        <f t="shared" ref="AS29" si="92">AR29+AS28</f>
        <v>-26409989.655205891</v>
      </c>
      <c r="AT29" s="66"/>
      <c r="AU29" s="66"/>
      <c r="AV29" s="66"/>
      <c r="AW29" s="66"/>
      <c r="AX29" s="66"/>
      <c r="AY29" s="66"/>
      <c r="AZ29" s="66"/>
      <c r="BA29" s="66"/>
      <c r="BB29" s="66"/>
      <c r="BC29" s="66"/>
      <c r="BD29" s="66"/>
      <c r="BE29" s="66"/>
      <c r="BF29" s="66"/>
      <c r="BG29" s="66"/>
      <c r="BH29" s="66"/>
      <c r="BI29" s="66"/>
      <c r="BJ29" s="66"/>
      <c r="BK29" s="66"/>
      <c r="BL29" s="66"/>
      <c r="BM29" s="66"/>
      <c r="BN29" s="66"/>
      <c r="BO29" s="66"/>
      <c r="BP29" s="66"/>
    </row>
    <row r="30" spans="1:68" s="69" customFormat="1" ht="15.75" customHeight="1" x14ac:dyDescent="0.3">
      <c r="A30" s="300" t="s">
        <v>179</v>
      </c>
      <c r="B30" s="216"/>
      <c r="C30" s="83">
        <f t="shared" ref="C30:L30" si="93">C27+C29</f>
        <v>530343.11857142881</v>
      </c>
      <c r="D30" s="83">
        <f t="shared" si="93"/>
        <v>1327320.2746428568</v>
      </c>
      <c r="E30" s="83">
        <f t="shared" si="93"/>
        <v>3416714.1600000039</v>
      </c>
      <c r="F30" s="83">
        <f t="shared" si="93"/>
        <v>5600555.3800000027</v>
      </c>
      <c r="G30" s="83">
        <f t="shared" si="93"/>
        <v>7437837.0427272767</v>
      </c>
      <c r="H30" s="83">
        <f t="shared" si="93"/>
        <v>8222208.1627272759</v>
      </c>
      <c r="I30" s="83">
        <f t="shared" si="93"/>
        <v>8964304.4538811222</v>
      </c>
      <c r="J30" s="83">
        <f t="shared" si="93"/>
        <v>9748807.7838811222</v>
      </c>
      <c r="K30" s="83">
        <f t="shared" si="93"/>
        <v>11198133.203881122</v>
      </c>
      <c r="L30" s="83">
        <f t="shared" si="93"/>
        <v>12955465.073881123</v>
      </c>
      <c r="M30" s="418">
        <f>M27+M29</f>
        <v>13978400.403881121</v>
      </c>
      <c r="N30" s="418">
        <f t="shared" ref="N30:R30" si="94">N27+N29</f>
        <v>15129380.143881122</v>
      </c>
      <c r="O30" s="418">
        <f t="shared" si="94"/>
        <v>16119646.553881124</v>
      </c>
      <c r="P30" s="418">
        <f t="shared" si="94"/>
        <v>16686070.913881123</v>
      </c>
      <c r="Q30" s="418">
        <f t="shared" si="94"/>
        <v>17463100.133881122</v>
      </c>
      <c r="R30" s="418">
        <f t="shared" si="94"/>
        <v>17980121.912684541</v>
      </c>
      <c r="S30" s="419">
        <f>S27+S29</f>
        <v>17969128.476171743</v>
      </c>
      <c r="T30" s="418">
        <f t="shared" ref="T30" si="95">T27+T29</f>
        <v>18128616.139345858</v>
      </c>
      <c r="U30" s="420">
        <f t="shared" ref="U30" si="96">U27+U29</f>
        <v>18288103.802519973</v>
      </c>
      <c r="V30" s="419">
        <f>V27+V29</f>
        <v>12955465.073881123</v>
      </c>
      <c r="W30" s="418">
        <f t="shared" ref="W30" si="97">W27+W29</f>
        <v>16119646.553881124</v>
      </c>
      <c r="X30" s="418">
        <f>X27+X29</f>
        <v>17980121.912684541</v>
      </c>
      <c r="Y30" s="420">
        <f t="shared" ref="Y30" si="98">Y27+Y29</f>
        <v>18288103.802519973</v>
      </c>
      <c r="Z30" s="419">
        <f>Z27+Z29</f>
        <v>20300749.507519975</v>
      </c>
      <c r="AA30" s="418">
        <f t="shared" ref="AA30" si="99">AA27+AA29</f>
        <v>21887563.151845094</v>
      </c>
      <c r="AB30" s="418">
        <f>AB27+AB29</f>
        <v>23532270.817902416</v>
      </c>
      <c r="AC30" s="420">
        <f t="shared" ref="AC30" si="100">AC27+AC29</f>
        <v>25240661.907865159</v>
      </c>
      <c r="AD30" s="419">
        <f>AD27+AD29</f>
        <v>26734887.937162332</v>
      </c>
      <c r="AE30" s="418">
        <f t="shared" ref="AE30" si="101">AE27+AE29</f>
        <v>28364726.458256699</v>
      </c>
      <c r="AF30" s="418">
        <f>AF27+AF29</f>
        <v>30081127.659522921</v>
      </c>
      <c r="AG30" s="420">
        <f t="shared" ref="AG30" si="102">AG27+AG29</f>
        <v>31892747.808978163</v>
      </c>
      <c r="AH30" s="419">
        <f>AH27+AH29</f>
        <v>33542684.862833858</v>
      </c>
      <c r="AI30" s="418">
        <f t="shared" ref="AI30" si="103">AI27+AI29</f>
        <v>35358287.905390799</v>
      </c>
      <c r="AJ30" s="418">
        <f>AJ27+AJ29</f>
        <v>37300627.367987335</v>
      </c>
      <c r="AK30" s="420">
        <f t="shared" ref="AK30" si="104">AK27+AK29</f>
        <v>39382376.892627418</v>
      </c>
      <c r="AL30" s="419">
        <f>AL27+AL29</f>
        <v>41521838.122938365</v>
      </c>
      <c r="AM30" s="418">
        <f t="shared" ref="AM30" si="105">AM27+AM29</f>
        <v>43848096.165744975</v>
      </c>
      <c r="AN30" s="418">
        <f>AN27+AN29</f>
        <v>46359909.001131549</v>
      </c>
      <c r="AO30" s="420">
        <f t="shared" ref="AO30" si="106">AO27+AO29</f>
        <v>49075832.108356096</v>
      </c>
      <c r="AP30" s="419">
        <f>AP27+AP29</f>
        <v>51982119.599396303</v>
      </c>
      <c r="AQ30" s="418">
        <f t="shared" ref="AQ30" si="107">AQ27+AQ29</f>
        <v>55141848.604154371</v>
      </c>
      <c r="AR30" s="418">
        <f>AR27+AR29</f>
        <v>58573248.380728766</v>
      </c>
      <c r="AS30" s="420">
        <f t="shared" ref="AS30" si="108">AS27+AS29</f>
        <v>62303486.00630112</v>
      </c>
    </row>
    <row r="31" spans="1:68" s="66" customFormat="1" ht="15.75" hidden="1" customHeight="1" outlineLevel="1" x14ac:dyDescent="0.3">
      <c r="A31" s="69"/>
      <c r="B31" s="87"/>
      <c r="C31" s="75"/>
      <c r="D31" s="75"/>
      <c r="E31" s="75"/>
      <c r="F31" s="75"/>
      <c r="G31" s="75"/>
      <c r="H31" s="75"/>
      <c r="I31" s="75"/>
      <c r="J31" s="75"/>
      <c r="K31" s="75"/>
      <c r="L31" s="75"/>
      <c r="M31" s="75"/>
      <c r="N31" s="75"/>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69"/>
      <c r="AU31" s="69"/>
      <c r="AV31" s="69"/>
    </row>
    <row r="32" spans="1:68" hidden="1" outlineLevel="1" x14ac:dyDescent="0.3">
      <c r="A32" s="137" t="s">
        <v>201</v>
      </c>
      <c r="B32" s="308">
        <f>AVERAGE(G32:R32)</f>
        <v>26827.71991262522</v>
      </c>
      <c r="C32" s="135">
        <v>571.41</v>
      </c>
      <c r="D32" s="135">
        <v>2697.2155747000002</v>
      </c>
      <c r="E32" s="135">
        <v>4081.93428120001</v>
      </c>
      <c r="F32" s="135">
        <v>7412.04472240004</v>
      </c>
      <c r="G32" s="135">
        <v>12223.626238200099</v>
      </c>
      <c r="H32" s="135">
        <v>14714.096905200156</v>
      </c>
      <c r="I32" s="135">
        <v>15413.79010240008</v>
      </c>
      <c r="J32" s="135">
        <v>14855.707757009497</v>
      </c>
      <c r="K32" s="135">
        <v>19661</v>
      </c>
      <c r="L32" s="135">
        <v>31534</v>
      </c>
      <c r="M32" s="135">
        <v>26313.22</v>
      </c>
      <c r="N32" s="135">
        <v>28305.298224299298</v>
      </c>
      <c r="O32" s="135">
        <v>27736.761214953036</v>
      </c>
      <c r="P32" s="135">
        <v>18593.394105056879</v>
      </c>
      <c r="Q32" s="135">
        <v>16892.43272727283</v>
      </c>
      <c r="R32" s="134">
        <v>95689.311677110731</v>
      </c>
      <c r="S32" s="183">
        <f>$B$11*S7</f>
        <v>32324.135413577078</v>
      </c>
      <c r="T32" s="93">
        <f>$B$11*T7</f>
        <v>30398.782326456843</v>
      </c>
      <c r="U32" s="184">
        <f>$B$11*U7</f>
        <v>28669.597289722442</v>
      </c>
      <c r="V32" s="93">
        <f>SUM(J32:L32)</f>
        <v>66050.707757009499</v>
      </c>
      <c r="W32" s="93">
        <f>SUM(M32:O32)</f>
        <v>82355.279439252336</v>
      </c>
      <c r="X32" s="93">
        <f>SUM(P32:R32)</f>
        <v>131175.13850944044</v>
      </c>
      <c r="Y32" s="184">
        <f>SUM(S32:U32)</f>
        <v>91392.515029756367</v>
      </c>
      <c r="Z32" s="183">
        <f t="shared" ref="Z32:AS32" si="109">$B$11*Z7</f>
        <v>77220.189654105765</v>
      </c>
      <c r="AA32" s="93">
        <f t="shared" si="109"/>
        <v>94151.977223935435</v>
      </c>
      <c r="AB32" s="93">
        <f t="shared" si="109"/>
        <v>104295.13936332194</v>
      </c>
      <c r="AC32" s="93">
        <f t="shared" si="109"/>
        <v>113044.75429451912</v>
      </c>
      <c r="AD32" s="183">
        <f t="shared" si="109"/>
        <v>117317.58402703103</v>
      </c>
      <c r="AE32" s="93">
        <f t="shared" si="109"/>
        <v>120324.47174831151</v>
      </c>
      <c r="AF32" s="93">
        <f>$B$11*AF7</f>
        <v>124320.33028986385</v>
      </c>
      <c r="AG32" s="93">
        <f t="shared" si="109"/>
        <v>129217.53229866816</v>
      </c>
      <c r="AH32" s="183">
        <f t="shared" si="109"/>
        <v>131782.50498953069</v>
      </c>
      <c r="AI32" s="93">
        <f t="shared" si="109"/>
        <v>134504.04047298274</v>
      </c>
      <c r="AJ32" s="93">
        <f t="shared" si="109"/>
        <v>139129.03816712816</v>
      </c>
      <c r="AK32" s="93">
        <f t="shared" si="109"/>
        <v>145405.75964553998</v>
      </c>
      <c r="AL32" s="183">
        <f t="shared" si="109"/>
        <v>151816.71434892426</v>
      </c>
      <c r="AM32" s="93">
        <f t="shared" si="109"/>
        <v>159502.72600050928</v>
      </c>
      <c r="AN32" s="93">
        <f t="shared" si="109"/>
        <v>168902.4787471944</v>
      </c>
      <c r="AO32" s="93">
        <f t="shared" si="109"/>
        <v>180166.07505587113</v>
      </c>
      <c r="AP32" s="183">
        <f t="shared" si="109"/>
        <v>192407.11169455617</v>
      </c>
      <c r="AQ32" s="93">
        <f t="shared" si="109"/>
        <v>206345.41736241506</v>
      </c>
      <c r="AR32" s="93">
        <f t="shared" si="109"/>
        <v>222158.59504500328</v>
      </c>
      <c r="AS32" s="184">
        <f t="shared" si="109"/>
        <v>239903.76971140091</v>
      </c>
      <c r="AT32" s="68"/>
      <c r="AU32" s="66"/>
      <c r="AV32" s="66"/>
      <c r="AW32" s="66"/>
      <c r="AX32" s="66"/>
      <c r="AY32" s="66"/>
      <c r="AZ32" s="66"/>
      <c r="BA32" s="66"/>
      <c r="BB32" s="66"/>
      <c r="BC32" s="66"/>
      <c r="BD32" s="66"/>
      <c r="BE32" s="66"/>
      <c r="BF32" s="66"/>
      <c r="BG32" s="66"/>
      <c r="BH32" s="66"/>
      <c r="BI32" s="66"/>
      <c r="BJ32" s="66"/>
      <c r="BK32" s="66"/>
      <c r="BL32" s="66"/>
      <c r="BM32" s="66"/>
      <c r="BN32" s="66"/>
      <c r="BO32" s="66"/>
      <c r="BP32" s="66"/>
    </row>
    <row r="33" spans="1:68" hidden="1" outlineLevel="1" x14ac:dyDescent="0.3">
      <c r="A33" s="121" t="s">
        <v>17</v>
      </c>
      <c r="B33" s="309">
        <f t="shared" ref="B33:B35" si="110">AVERAGE(G33:R33)</f>
        <v>72873.04562771479</v>
      </c>
      <c r="C33" s="122">
        <v>300.81717990000101</v>
      </c>
      <c r="D33" s="122">
        <v>3501.8032215000089</v>
      </c>
      <c r="E33" s="122">
        <v>10172.44500760005</v>
      </c>
      <c r="F33" s="122">
        <v>22030.572540000212</v>
      </c>
      <c r="G33" s="122">
        <v>32865.039619400122</v>
      </c>
      <c r="H33" s="122">
        <v>55278.560925799211</v>
      </c>
      <c r="I33" s="122">
        <v>59333.464733099034</v>
      </c>
      <c r="J33" s="122">
        <v>72666.115999998918</v>
      </c>
      <c r="K33" s="122">
        <v>47416</v>
      </c>
      <c r="L33" s="122">
        <v>92992</v>
      </c>
      <c r="M33" s="122">
        <v>96554.77</v>
      </c>
      <c r="N33" s="122">
        <v>89725.530093458117</v>
      </c>
      <c r="O33" s="122">
        <v>126612.06280373754</v>
      </c>
      <c r="P33" s="122">
        <v>83321.650247293001</v>
      </c>
      <c r="Q33" s="122">
        <v>97308.44241014721</v>
      </c>
      <c r="R33" s="122">
        <v>20402.910699644504</v>
      </c>
      <c r="S33" s="185">
        <f>$B$12*S7</f>
        <v>90906.503061306634</v>
      </c>
      <c r="T33" s="79">
        <f>$B$12*T7</f>
        <v>85491.752935155528</v>
      </c>
      <c r="U33" s="186">
        <f>$B$12*U7</f>
        <v>80628.694331291525</v>
      </c>
      <c r="V33" s="79">
        <f>SUM(J33:L33)</f>
        <v>213074.11599999893</v>
      </c>
      <c r="W33" s="79">
        <f>SUM(M33:O33)</f>
        <v>312892.36289719568</v>
      </c>
      <c r="X33" s="79">
        <f>SUM(P33:R33)</f>
        <v>201033.00335708473</v>
      </c>
      <c r="Y33" s="186">
        <f>SUM(S33:U33)</f>
        <v>257026.95032775367</v>
      </c>
      <c r="Z33" s="185">
        <f t="shared" ref="Z33:AS33" si="111">$B$12*Z7</f>
        <v>217169.53345756364</v>
      </c>
      <c r="AA33" s="79">
        <f t="shared" si="111"/>
        <v>264787.49999731529</v>
      </c>
      <c r="AB33" s="79">
        <f t="shared" si="111"/>
        <v>293313.53443807462</v>
      </c>
      <c r="AC33" s="79">
        <f t="shared" si="111"/>
        <v>317920.43842332531</v>
      </c>
      <c r="AD33" s="185">
        <f t="shared" si="111"/>
        <v>329937.09421904024</v>
      </c>
      <c r="AE33" s="79">
        <f t="shared" si="111"/>
        <v>338393.4889328421</v>
      </c>
      <c r="AF33" s="79">
        <f t="shared" si="111"/>
        <v>349631.20719173789</v>
      </c>
      <c r="AG33" s="79">
        <f t="shared" si="111"/>
        <v>363403.81096626038</v>
      </c>
      <c r="AH33" s="185">
        <f t="shared" si="111"/>
        <v>370617.3897608883</v>
      </c>
      <c r="AI33" s="79">
        <f t="shared" si="111"/>
        <v>378271.27657309273</v>
      </c>
      <c r="AJ33" s="79">
        <f t="shared" si="111"/>
        <v>391278.34889419092</v>
      </c>
      <c r="AK33" s="79">
        <f t="shared" si="111"/>
        <v>408930.63233477285</v>
      </c>
      <c r="AL33" s="185">
        <f t="shared" si="111"/>
        <v>426960.42542629375</v>
      </c>
      <c r="AM33" s="79">
        <f t="shared" si="111"/>
        <v>448576.11391399184</v>
      </c>
      <c r="AN33" s="79">
        <f t="shared" si="111"/>
        <v>475011.42736968113</v>
      </c>
      <c r="AO33" s="79">
        <f t="shared" si="111"/>
        <v>506688.50516975619</v>
      </c>
      <c r="AP33" s="185">
        <f t="shared" si="111"/>
        <v>541114.4788402163</v>
      </c>
      <c r="AQ33" s="79">
        <f t="shared" si="111"/>
        <v>580313.75240632158</v>
      </c>
      <c r="AR33" s="79">
        <f t="shared" si="111"/>
        <v>624785.80609062186</v>
      </c>
      <c r="AS33" s="186">
        <f t="shared" si="111"/>
        <v>674691.29480654665</v>
      </c>
      <c r="AT33" s="68"/>
      <c r="AU33" s="66"/>
      <c r="AV33" s="66"/>
      <c r="AW33" s="66"/>
      <c r="AX33" s="66"/>
      <c r="AY33" s="66"/>
      <c r="AZ33" s="66"/>
      <c r="BA33" s="66"/>
      <c r="BB33" s="66"/>
      <c r="BC33" s="66"/>
      <c r="BD33" s="66"/>
      <c r="BE33" s="66"/>
      <c r="BF33" s="66"/>
      <c r="BG33" s="66"/>
      <c r="BH33" s="66"/>
      <c r="BI33" s="66"/>
      <c r="BJ33" s="66"/>
      <c r="BK33" s="66"/>
      <c r="BL33" s="66"/>
      <c r="BM33" s="66"/>
      <c r="BN33" s="66"/>
      <c r="BO33" s="66"/>
      <c r="BP33" s="66"/>
    </row>
    <row r="34" spans="1:68" hidden="1" outlineLevel="1" x14ac:dyDescent="0.3">
      <c r="A34" s="121" t="s">
        <v>212</v>
      </c>
      <c r="B34" s="309">
        <f t="shared" si="110"/>
        <v>470509.09929259727</v>
      </c>
      <c r="C34" s="122">
        <f t="shared" ref="C34:U34" si="112">C25-C32-C33</f>
        <v>23292.58006329988</v>
      </c>
      <c r="D34" s="122">
        <f t="shared" si="112"/>
        <v>51140.25977499938</v>
      </c>
      <c r="E34" s="122">
        <f t="shared" si="112"/>
        <v>136674.90254200296</v>
      </c>
      <c r="F34" s="122">
        <f t="shared" si="112"/>
        <v>153918.49922879669</v>
      </c>
      <c r="G34" s="122">
        <f t="shared" si="112"/>
        <v>255890.96511828585</v>
      </c>
      <c r="H34" s="122">
        <f t="shared" si="112"/>
        <v>598447.20482887083</v>
      </c>
      <c r="I34" s="122">
        <f t="shared" si="112"/>
        <v>520299.63898271328</v>
      </c>
      <c r="J34" s="122">
        <f t="shared" si="112"/>
        <v>413638.79184362013</v>
      </c>
      <c r="K34" s="122">
        <f t="shared" si="112"/>
        <v>353372.270320429</v>
      </c>
      <c r="L34" s="122">
        <f t="shared" si="112"/>
        <v>729506</v>
      </c>
      <c r="M34" s="122">
        <f t="shared" si="112"/>
        <v>195592.01</v>
      </c>
      <c r="N34" s="122">
        <f t="shared" si="112"/>
        <v>621223.8240560455</v>
      </c>
      <c r="O34" s="122">
        <f t="shared" si="112"/>
        <v>849840.27502802375</v>
      </c>
      <c r="P34" s="122">
        <f t="shared" si="112"/>
        <v>496163.532931967</v>
      </c>
      <c r="Q34" s="122">
        <f t="shared" si="112"/>
        <v>234744.36545371765</v>
      </c>
      <c r="R34" s="122">
        <f t="shared" si="112"/>
        <v>377390.31294749526</v>
      </c>
      <c r="S34" s="185">
        <f t="shared" si="112"/>
        <v>607517.61152511626</v>
      </c>
      <c r="T34" s="79">
        <f t="shared" si="112"/>
        <v>571331.46473838761</v>
      </c>
      <c r="U34" s="186">
        <f t="shared" si="112"/>
        <v>538832.20837898611</v>
      </c>
      <c r="V34" s="79">
        <f>SUM(J34:L34)</f>
        <v>1496517.0621640491</v>
      </c>
      <c r="W34" s="79">
        <f>SUM(M34:O34)</f>
        <v>1666656.1090840693</v>
      </c>
      <c r="X34" s="79">
        <f>SUM(P34:R34)</f>
        <v>1108298.2113331798</v>
      </c>
      <c r="Y34" s="186">
        <f>SUM(S34:U34)</f>
        <v>1717681.2846424901</v>
      </c>
      <c r="Z34" s="185">
        <f t="shared" ref="Z34:AS34" si="113">Z25-Z32-Z33</f>
        <v>1451318.7925971304</v>
      </c>
      <c r="AA34" s="79">
        <f t="shared" si="113"/>
        <v>1769544.1375804644</v>
      </c>
      <c r="AB34" s="79">
        <f t="shared" si="113"/>
        <v>1960180.3156990539</v>
      </c>
      <c r="AC34" s="79">
        <f t="shared" si="113"/>
        <v>2124625.3997439845</v>
      </c>
      <c r="AD34" s="185">
        <f t="shared" si="113"/>
        <v>2204931.3160612024</v>
      </c>
      <c r="AE34" s="79">
        <f t="shared" si="113"/>
        <v>2261444.4206867092</v>
      </c>
      <c r="AF34" s="79">
        <f t="shared" si="113"/>
        <v>2336544.7878302173</v>
      </c>
      <c r="AG34" s="79">
        <f t="shared" si="113"/>
        <v>2428585.5007364983</v>
      </c>
      <c r="AH34" s="185">
        <f t="shared" si="113"/>
        <v>2476793.0107856425</v>
      </c>
      <c r="AI34" s="79">
        <f t="shared" si="113"/>
        <v>2527943.0482246382</v>
      </c>
      <c r="AJ34" s="79">
        <f t="shared" si="113"/>
        <v>2614867.8032569494</v>
      </c>
      <c r="AK34" s="79">
        <f t="shared" si="113"/>
        <v>2732835.9651887137</v>
      </c>
      <c r="AL34" s="185">
        <f t="shared" si="113"/>
        <v>2853326.9803129672</v>
      </c>
      <c r="AM34" s="79">
        <f t="shared" si="113"/>
        <v>2997782.1182766524</v>
      </c>
      <c r="AN34" s="79">
        <f t="shared" si="113"/>
        <v>3174446.2506510699</v>
      </c>
      <c r="AO34" s="79">
        <f t="shared" si="113"/>
        <v>3386140.485905271</v>
      </c>
      <c r="AP34" s="185">
        <f t="shared" si="113"/>
        <v>3616205.2732901722</v>
      </c>
      <c r="AQ34" s="79">
        <f t="shared" si="113"/>
        <v>3878169.4700026987</v>
      </c>
      <c r="AR34" s="79">
        <f t="shared" si="113"/>
        <v>4175371.0444124243</v>
      </c>
      <c r="AS34" s="186">
        <f t="shared" si="113"/>
        <v>4508883.6346640335</v>
      </c>
      <c r="AT34" s="68"/>
      <c r="AU34" s="66"/>
      <c r="AV34" s="66"/>
      <c r="AW34" s="66"/>
      <c r="AX34" s="66"/>
      <c r="AY34" s="66"/>
      <c r="AZ34" s="66"/>
      <c r="BA34" s="66"/>
      <c r="BB34" s="66"/>
      <c r="BC34" s="66"/>
      <c r="BD34" s="66"/>
      <c r="BE34" s="66"/>
      <c r="BF34" s="66"/>
      <c r="BG34" s="66"/>
      <c r="BH34" s="66"/>
      <c r="BI34" s="66"/>
      <c r="BJ34" s="66"/>
      <c r="BK34" s="66"/>
      <c r="BL34" s="66"/>
      <c r="BM34" s="66"/>
      <c r="BN34" s="66"/>
      <c r="BO34" s="66"/>
      <c r="BP34" s="66"/>
    </row>
    <row r="35" spans="1:68" hidden="1" outlineLevel="1" x14ac:dyDescent="0.3">
      <c r="A35" s="123" t="s">
        <v>48</v>
      </c>
      <c r="B35" s="310">
        <f t="shared" si="110"/>
        <v>99700.765540340042</v>
      </c>
      <c r="C35" s="124">
        <f>C32+C33</f>
        <v>872.22717990000092</v>
      </c>
      <c r="D35" s="124">
        <f t="shared" ref="D35:R35" si="114">D32+D33</f>
        <v>6199.0187962000091</v>
      </c>
      <c r="E35" s="124">
        <f t="shared" si="114"/>
        <v>14254.379288800061</v>
      </c>
      <c r="F35" s="124">
        <f t="shared" si="114"/>
        <v>29442.61726240025</v>
      </c>
      <c r="G35" s="124">
        <f t="shared" si="114"/>
        <v>45088.665857600223</v>
      </c>
      <c r="H35" s="124">
        <f t="shared" si="114"/>
        <v>69992.657830999364</v>
      </c>
      <c r="I35" s="124">
        <f t="shared" si="114"/>
        <v>74747.254835499116</v>
      </c>
      <c r="J35" s="124">
        <f t="shared" si="114"/>
        <v>87521.823757008417</v>
      </c>
      <c r="K35" s="124">
        <f t="shared" si="114"/>
        <v>67077</v>
      </c>
      <c r="L35" s="124">
        <f t="shared" si="114"/>
        <v>124526</v>
      </c>
      <c r="M35" s="124">
        <f t="shared" si="114"/>
        <v>122867.99</v>
      </c>
      <c r="N35" s="124">
        <f t="shared" si="114"/>
        <v>118030.82831775742</v>
      </c>
      <c r="O35" s="124">
        <f t="shared" si="114"/>
        <v>154348.82401869059</v>
      </c>
      <c r="P35" s="124">
        <f t="shared" si="114"/>
        <v>101915.04435234988</v>
      </c>
      <c r="Q35" s="124">
        <f t="shared" si="114"/>
        <v>114200.87513742004</v>
      </c>
      <c r="R35" s="125">
        <f t="shared" si="114"/>
        <v>116092.22237675524</v>
      </c>
      <c r="S35" s="189">
        <f>S32+S33</f>
        <v>123230.63847488372</v>
      </c>
      <c r="T35" s="94">
        <f t="shared" ref="T35:U35" si="115">T32+T33</f>
        <v>115890.53526161237</v>
      </c>
      <c r="U35" s="190">
        <f t="shared" si="115"/>
        <v>109298.29162101397</v>
      </c>
      <c r="V35" s="94">
        <f>V32+V33</f>
        <v>279124.82375700842</v>
      </c>
      <c r="W35" s="94">
        <f t="shared" ref="W35:Y35" si="116">W32+W33</f>
        <v>395247.64233644801</v>
      </c>
      <c r="X35" s="94">
        <f t="shared" si="116"/>
        <v>332208.14186652517</v>
      </c>
      <c r="Y35" s="190">
        <f t="shared" si="116"/>
        <v>348419.46535751002</v>
      </c>
      <c r="Z35" s="189">
        <f>Z33+Z32</f>
        <v>294389.72311166942</v>
      </c>
      <c r="AA35" s="94">
        <f t="shared" ref="AA35:AS35" si="117">AA33+AA32</f>
        <v>358939.47722125071</v>
      </c>
      <c r="AB35" s="94">
        <f t="shared" si="117"/>
        <v>397608.67380139657</v>
      </c>
      <c r="AC35" s="94">
        <f t="shared" si="117"/>
        <v>430965.19271784445</v>
      </c>
      <c r="AD35" s="189">
        <f>AD33+AD32</f>
        <v>447254.67824607127</v>
      </c>
      <c r="AE35" s="94">
        <f t="shared" si="117"/>
        <v>458717.96068115358</v>
      </c>
      <c r="AF35" s="94">
        <f t="shared" si="117"/>
        <v>473951.53748160176</v>
      </c>
      <c r="AG35" s="94">
        <f t="shared" si="117"/>
        <v>492621.34326492855</v>
      </c>
      <c r="AH35" s="189">
        <f>AH33+AH32</f>
        <v>502399.89475041896</v>
      </c>
      <c r="AI35" s="94">
        <f t="shared" si="117"/>
        <v>512775.31704607548</v>
      </c>
      <c r="AJ35" s="94">
        <f t="shared" si="117"/>
        <v>530407.38706131908</v>
      </c>
      <c r="AK35" s="94">
        <f t="shared" si="117"/>
        <v>554336.39198031276</v>
      </c>
      <c r="AL35" s="189">
        <f>AL33+AL32</f>
        <v>578777.13977521798</v>
      </c>
      <c r="AM35" s="94">
        <f t="shared" si="117"/>
        <v>608078.83991450118</v>
      </c>
      <c r="AN35" s="94">
        <f t="shared" si="117"/>
        <v>643913.90611687559</v>
      </c>
      <c r="AO35" s="94">
        <f t="shared" si="117"/>
        <v>686854.58022562729</v>
      </c>
      <c r="AP35" s="189">
        <f>AP33+AP32</f>
        <v>733521.59053477249</v>
      </c>
      <c r="AQ35" s="94">
        <f t="shared" si="117"/>
        <v>786659.1697687367</v>
      </c>
      <c r="AR35" s="94">
        <f t="shared" si="117"/>
        <v>846944.40113562508</v>
      </c>
      <c r="AS35" s="190">
        <f t="shared" si="117"/>
        <v>914595.06451794761</v>
      </c>
      <c r="AT35" s="68"/>
      <c r="AU35" s="66"/>
      <c r="AV35" s="66"/>
      <c r="AW35" s="66"/>
      <c r="AX35" s="66"/>
      <c r="AY35" s="66"/>
      <c r="AZ35" s="66"/>
      <c r="BA35" s="66"/>
      <c r="BB35" s="66"/>
      <c r="BC35" s="66"/>
      <c r="BD35" s="66"/>
      <c r="BE35" s="66"/>
      <c r="BF35" s="66"/>
      <c r="BG35" s="66"/>
      <c r="BH35" s="66"/>
      <c r="BI35" s="66"/>
      <c r="BJ35" s="66"/>
      <c r="BK35" s="66"/>
      <c r="BL35" s="66"/>
      <c r="BM35" s="66"/>
      <c r="BN35" s="66"/>
      <c r="BO35" s="66"/>
      <c r="BP35" s="66"/>
    </row>
    <row r="36" spans="1:68" hidden="1" outlineLevel="1" x14ac:dyDescent="0.3">
      <c r="A36" s="131"/>
      <c r="B36" s="309"/>
      <c r="C36" s="122"/>
      <c r="D36" s="122"/>
      <c r="E36" s="122"/>
      <c r="F36" s="122"/>
      <c r="G36" s="122"/>
      <c r="H36" s="122"/>
      <c r="I36" s="122"/>
      <c r="J36" s="122"/>
      <c r="K36" s="122"/>
      <c r="L36" s="122"/>
      <c r="M36" s="122"/>
      <c r="N36" s="122"/>
      <c r="O36" s="122"/>
      <c r="P36" s="122"/>
      <c r="Q36" s="122"/>
      <c r="R36" s="122"/>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69"/>
      <c r="AU36" s="66"/>
      <c r="AV36" s="66"/>
      <c r="AW36" s="66"/>
      <c r="AX36" s="66"/>
      <c r="AY36" s="66"/>
      <c r="AZ36" s="66"/>
      <c r="BA36" s="66"/>
      <c r="BB36" s="66"/>
      <c r="BC36" s="66"/>
      <c r="BD36" s="66"/>
      <c r="BE36" s="66"/>
      <c r="BF36" s="66"/>
      <c r="BG36" s="66"/>
      <c r="BH36" s="66"/>
      <c r="BI36" s="66"/>
      <c r="BJ36" s="66"/>
      <c r="BK36" s="66"/>
      <c r="BL36" s="66"/>
      <c r="BM36" s="66"/>
      <c r="BN36" s="66"/>
      <c r="BO36" s="66"/>
      <c r="BP36" s="66"/>
    </row>
    <row r="37" spans="1:68" s="66" customFormat="1" collapsed="1" x14ac:dyDescent="0.3">
      <c r="A37" s="69"/>
      <c r="B37" s="87"/>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69"/>
    </row>
    <row r="38" spans="1:68" x14ac:dyDescent="0.3">
      <c r="A38" s="44" t="s">
        <v>95</v>
      </c>
      <c r="B38" s="95"/>
      <c r="C38" s="69"/>
      <c r="D38" s="69"/>
      <c r="E38" s="69"/>
      <c r="F38" s="69"/>
      <c r="G38" s="69"/>
      <c r="H38" s="69"/>
      <c r="I38" s="69"/>
      <c r="J38" s="69"/>
      <c r="K38" s="79"/>
      <c r="L38" s="69"/>
      <c r="M38" s="69"/>
      <c r="N38" s="69"/>
      <c r="O38" s="69"/>
      <c r="P38" s="69"/>
      <c r="Q38" s="69"/>
      <c r="R38" s="69"/>
      <c r="S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6"/>
      <c r="AU38" s="66"/>
      <c r="AV38" s="66"/>
      <c r="AW38" s="66"/>
      <c r="AX38" s="66"/>
      <c r="AY38" s="66"/>
      <c r="AZ38" s="66"/>
      <c r="BA38" s="66"/>
      <c r="BB38" s="66"/>
      <c r="BC38" s="66"/>
      <c r="BD38" s="66"/>
      <c r="BE38" s="66"/>
      <c r="BF38" s="66"/>
      <c r="BG38" s="66"/>
      <c r="BH38" s="66"/>
      <c r="BI38" s="66"/>
      <c r="BJ38" s="66"/>
      <c r="BK38" s="66"/>
      <c r="BL38" s="66"/>
      <c r="BM38" s="66"/>
      <c r="BN38" s="66"/>
      <c r="BO38" s="66"/>
      <c r="BP38" s="66"/>
    </row>
    <row r="39" spans="1:68" s="66" customFormat="1" ht="15.6" x14ac:dyDescent="0.3">
      <c r="A39" s="96" t="s">
        <v>115</v>
      </c>
      <c r="B39" s="246">
        <v>45</v>
      </c>
      <c r="C39" s="69"/>
      <c r="D39" s="69"/>
      <c r="E39" s="69"/>
      <c r="F39" s="69"/>
      <c r="G39" s="69"/>
      <c r="H39" s="69"/>
      <c r="I39" s="69"/>
      <c r="J39" s="69"/>
      <c r="K39" s="79"/>
      <c r="L39" s="69"/>
      <c r="M39" s="69"/>
      <c r="N39" s="69"/>
      <c r="O39" s="69"/>
      <c r="P39" s="69"/>
      <c r="Q39" s="69"/>
      <c r="R39" s="69"/>
      <c r="S39" s="69"/>
      <c r="T39" s="69"/>
      <c r="U39" s="69"/>
      <c r="V39" s="69"/>
      <c r="W39" s="69"/>
      <c r="X39" s="69"/>
      <c r="Y39" s="69"/>
      <c r="Z39" s="130"/>
      <c r="AA39" s="69"/>
      <c r="AB39" s="69"/>
      <c r="AC39" s="69"/>
      <c r="AD39" s="69"/>
      <c r="AE39" s="69"/>
      <c r="AF39" s="69"/>
      <c r="AG39" s="69"/>
      <c r="AH39" s="69"/>
      <c r="AI39" s="69"/>
      <c r="AJ39" s="69"/>
      <c r="AK39" s="69"/>
      <c r="AL39" s="69"/>
      <c r="AM39" s="69"/>
      <c r="AN39" s="69"/>
      <c r="AO39" s="69"/>
      <c r="AP39" s="69"/>
      <c r="AQ39" s="69"/>
      <c r="AR39" s="69"/>
      <c r="AS39" s="69"/>
    </row>
    <row r="40" spans="1:68" s="66" customFormat="1" ht="15.6" x14ac:dyDescent="0.3">
      <c r="A40" s="96" t="s">
        <v>44</v>
      </c>
      <c r="B40" s="98">
        <v>3.65</v>
      </c>
      <c r="C40" s="69"/>
      <c r="D40" s="69"/>
      <c r="E40" s="69"/>
      <c r="F40" s="69"/>
      <c r="G40" s="69"/>
      <c r="H40" s="69"/>
      <c r="I40" s="69"/>
      <c r="J40" s="69"/>
      <c r="K40" s="7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row>
    <row r="41" spans="1:68" s="66" customFormat="1" ht="15.6" x14ac:dyDescent="0.3">
      <c r="A41" s="99" t="s">
        <v>170</v>
      </c>
      <c r="B41" s="100">
        <v>0.1</v>
      </c>
      <c r="C41" s="69"/>
      <c r="D41" s="421"/>
      <c r="E41" s="69"/>
      <c r="F41" s="69"/>
      <c r="G41" s="69"/>
      <c r="H41" s="69"/>
      <c r="I41" s="69"/>
      <c r="J41" s="69"/>
      <c r="K41" s="79"/>
      <c r="L41" s="69"/>
      <c r="M41" s="69"/>
      <c r="N41" s="69"/>
      <c r="O41" s="69"/>
      <c r="P41" s="69"/>
      <c r="Q41" s="69"/>
      <c r="R41" s="69"/>
      <c r="S41" s="69"/>
      <c r="T41" s="69"/>
      <c r="U41" s="101"/>
      <c r="V41" s="314"/>
      <c r="W41" s="69"/>
      <c r="X41" s="69"/>
      <c r="Y41" s="69"/>
      <c r="Z41" s="69"/>
      <c r="AA41" s="69"/>
      <c r="AB41" s="69"/>
      <c r="AC41" s="69"/>
      <c r="AD41" s="69"/>
      <c r="AE41" s="69"/>
      <c r="AF41" s="69"/>
      <c r="AG41" s="69"/>
      <c r="AH41" s="69"/>
      <c r="AI41" s="69"/>
      <c r="AJ41" s="69"/>
      <c r="AK41" s="69"/>
      <c r="AL41" s="69"/>
      <c r="AM41" s="69"/>
      <c r="AN41" s="69"/>
      <c r="AO41" s="69"/>
      <c r="AP41" s="69"/>
      <c r="AQ41" s="69"/>
      <c r="AR41" s="69"/>
      <c r="AS41" s="69"/>
    </row>
    <row r="42" spans="1:68" s="66" customFormat="1" ht="15.6" x14ac:dyDescent="0.3">
      <c r="A42" s="102" t="s">
        <v>169</v>
      </c>
      <c r="B42" s="103">
        <v>600</v>
      </c>
      <c r="C42" s="69"/>
      <c r="D42" s="69"/>
      <c r="E42" s="69"/>
      <c r="F42" s="69"/>
      <c r="G42" s="69"/>
      <c r="H42" s="69"/>
      <c r="I42" s="69"/>
      <c r="J42" s="69"/>
      <c r="K42" s="7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row>
    <row r="43" spans="1:68" s="66" customFormat="1" ht="15.6" x14ac:dyDescent="0.3">
      <c r="A43" s="102" t="s">
        <v>162</v>
      </c>
      <c r="B43" s="100">
        <v>0.1</v>
      </c>
      <c r="C43" s="69"/>
      <c r="D43" s="421"/>
      <c r="E43" s="69"/>
      <c r="F43" s="69"/>
      <c r="G43" s="69"/>
      <c r="H43" s="69"/>
      <c r="I43" s="69"/>
      <c r="J43" s="69"/>
      <c r="L43" s="69"/>
      <c r="M43" s="69"/>
      <c r="N43" s="69"/>
      <c r="O43" s="69"/>
      <c r="P43" s="69"/>
      <c r="Q43" s="69"/>
      <c r="R43" s="69"/>
      <c r="S43" s="69"/>
      <c r="T43" s="69"/>
      <c r="U43" s="69"/>
      <c r="V43" s="314"/>
      <c r="W43" s="69"/>
      <c r="X43" s="69"/>
      <c r="Y43" s="69"/>
      <c r="Z43" s="69"/>
      <c r="AA43" s="69"/>
      <c r="AB43" s="69"/>
      <c r="AC43" s="69"/>
      <c r="AD43" s="69"/>
      <c r="AE43" s="69"/>
      <c r="AF43" s="69"/>
      <c r="AG43" s="69"/>
      <c r="AH43" s="69"/>
      <c r="AI43" s="69"/>
      <c r="AJ43" s="69"/>
      <c r="AK43" s="69"/>
      <c r="AL43" s="69"/>
      <c r="AM43" s="69"/>
      <c r="AN43" s="69"/>
      <c r="AO43" s="69"/>
      <c r="AP43" s="69"/>
      <c r="AQ43" s="69"/>
      <c r="AR43" s="69"/>
      <c r="AS43" s="69"/>
    </row>
    <row r="44" spans="1:68" s="66" customFormat="1" ht="15.6" x14ac:dyDescent="0.3">
      <c r="A44" s="102" t="s">
        <v>178</v>
      </c>
      <c r="B44" s="97">
        <f>Dashboard!B24</f>
        <v>180</v>
      </c>
      <c r="C44" s="69"/>
      <c r="D44" s="422"/>
      <c r="E44" s="69"/>
      <c r="F44" s="69"/>
      <c r="G44" s="69"/>
      <c r="H44" s="69"/>
      <c r="I44" s="69"/>
      <c r="J44" s="69"/>
      <c r="L44" s="69"/>
      <c r="M44" s="69"/>
      <c r="N44" s="69"/>
      <c r="O44" s="69"/>
      <c r="P44" s="69"/>
      <c r="Q44" s="69"/>
      <c r="R44" s="69"/>
      <c r="S44" s="69"/>
      <c r="T44" s="197"/>
      <c r="U44" s="69"/>
      <c r="V44" s="314"/>
      <c r="W44" s="69"/>
      <c r="X44" s="69"/>
      <c r="Y44" s="69"/>
      <c r="Z44" s="69"/>
      <c r="AA44" s="69"/>
      <c r="AB44" s="69"/>
      <c r="AC44" s="69"/>
      <c r="AD44" s="69"/>
      <c r="AE44" s="69"/>
      <c r="AF44" s="69"/>
      <c r="AG44" s="69"/>
      <c r="AH44" s="69"/>
      <c r="AI44" s="69"/>
      <c r="AJ44" s="69"/>
      <c r="AK44" s="69"/>
      <c r="AL44" s="69"/>
      <c r="AM44" s="69"/>
      <c r="AN44" s="69"/>
      <c r="AO44" s="69"/>
      <c r="AP44" s="69"/>
      <c r="AQ44" s="69"/>
      <c r="AR44" s="69"/>
      <c r="AS44" s="69"/>
    </row>
    <row r="45" spans="1:68" s="66" customFormat="1" ht="15.6" x14ac:dyDescent="0.3">
      <c r="A45" s="96" t="s">
        <v>168</v>
      </c>
      <c r="B45" s="100">
        <f>-SUM(J28:R28)/SUM(J26:R26)</f>
        <v>0.31842878985421258</v>
      </c>
      <c r="C45" s="69"/>
      <c r="D45" s="69"/>
      <c r="E45" s="69"/>
      <c r="F45" s="69"/>
      <c r="G45" s="69"/>
      <c r="H45" s="69"/>
      <c r="I45" s="69"/>
      <c r="J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c r="AN45" s="69"/>
      <c r="AO45" s="69"/>
      <c r="AP45" s="69"/>
      <c r="AQ45" s="69"/>
      <c r="AR45" s="69"/>
      <c r="AS45" s="69"/>
    </row>
    <row r="46" spans="1:68" s="66" customFormat="1" ht="15.6" x14ac:dyDescent="0.3">
      <c r="A46" s="102" t="s">
        <v>176</v>
      </c>
      <c r="B46" s="247">
        <f>Dashboard!B25</f>
        <v>1300</v>
      </c>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row>
    <row r="47" spans="1:68" s="66" customFormat="1" ht="15.6" x14ac:dyDescent="0.3">
      <c r="A47" s="96" t="s">
        <v>213</v>
      </c>
      <c r="B47" s="262">
        <f>Dashboard!B26</f>
        <v>0.3</v>
      </c>
      <c r="C47" s="69"/>
      <c r="D47" s="69"/>
      <c r="E47" s="69"/>
      <c r="F47" s="69"/>
      <c r="G47" s="69"/>
      <c r="H47" s="69"/>
      <c r="I47" s="69"/>
      <c r="J47" s="69"/>
      <c r="K47" s="69"/>
      <c r="L47" s="69"/>
      <c r="M47" s="69"/>
      <c r="N47" s="69"/>
      <c r="O47" s="69"/>
      <c r="P47" s="69"/>
      <c r="Q47" s="69"/>
      <c r="R47" s="69"/>
      <c r="S47" s="69"/>
      <c r="T47" s="197"/>
      <c r="U47" s="69"/>
      <c r="V47" s="69"/>
      <c r="W47" s="69"/>
      <c r="X47" s="69"/>
      <c r="Y47" s="69"/>
      <c r="Z47" s="69"/>
      <c r="AA47" s="69"/>
      <c r="AB47" s="69"/>
      <c r="AC47" s="69"/>
      <c r="AD47" s="69"/>
      <c r="AE47" s="69"/>
      <c r="AF47" s="69"/>
      <c r="AG47" s="69"/>
      <c r="AH47" s="69"/>
      <c r="AI47" s="69"/>
      <c r="AJ47" s="69"/>
      <c r="AK47" s="69"/>
      <c r="AL47" s="69"/>
      <c r="AM47" s="69"/>
      <c r="AN47" s="69"/>
      <c r="AO47" s="69"/>
      <c r="AP47" s="69"/>
      <c r="AQ47" s="69"/>
      <c r="AR47" s="69"/>
      <c r="AS47" s="69"/>
    </row>
    <row r="48" spans="1:68" s="66" customFormat="1" ht="15.6" x14ac:dyDescent="0.3">
      <c r="A48" s="96" t="s">
        <v>139</v>
      </c>
      <c r="B48" s="100">
        <v>0.6</v>
      </c>
      <c r="C48" s="69"/>
      <c r="D48" s="423"/>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row>
    <row r="49" spans="1:51" s="69" customFormat="1" x14ac:dyDescent="0.3">
      <c r="A49" s="556" t="s">
        <v>14</v>
      </c>
      <c r="B49" s="104"/>
    </row>
    <row r="50" spans="1:51" s="66" customFormat="1" hidden="1" outlineLevel="1" x14ac:dyDescent="0.3">
      <c r="A50" s="194" t="s">
        <v>229</v>
      </c>
      <c r="B50" s="476"/>
      <c r="C50" s="132"/>
      <c r="D50" s="132"/>
      <c r="E50" s="132"/>
      <c r="F50" s="132"/>
      <c r="G50" s="132"/>
      <c r="H50" s="132"/>
      <c r="I50" s="132"/>
      <c r="J50" s="132"/>
      <c r="K50" s="104"/>
      <c r="L50" s="104"/>
      <c r="M50" s="104"/>
      <c r="N50" s="104"/>
      <c r="O50" s="104"/>
      <c r="P50" s="104"/>
      <c r="Q50" s="104"/>
      <c r="R50" s="104"/>
      <c r="S50" s="199"/>
      <c r="T50" s="271"/>
      <c r="U50" s="272"/>
      <c r="V50" s="297"/>
      <c r="W50" s="297"/>
      <c r="X50" s="135"/>
      <c r="Y50" s="135"/>
      <c r="Z50" s="199">
        <f>'Funding Allocation'!H36*1000*-1*Z52</f>
        <v>-682500</v>
      </c>
      <c r="AA50" s="135">
        <f>'Funding Allocation'!I36*1000*-1*AA52</f>
        <v>-682500</v>
      </c>
      <c r="AB50" s="135">
        <f>'Funding Allocation'!J36*1000*-1*AB52</f>
        <v>-682500</v>
      </c>
      <c r="AC50" s="134">
        <f>'Funding Allocation'!K36*1000*-1*AC52</f>
        <v>-682500</v>
      </c>
      <c r="AD50" s="135">
        <f>'Funding Allocation'!M36*1000*-1*AD52</f>
        <v>-517500</v>
      </c>
      <c r="AE50" s="135">
        <f>'Funding Allocation'!N36*1000*-1*AE52</f>
        <v>-517500</v>
      </c>
      <c r="AF50" s="135">
        <f>'Funding Allocation'!O36*1000*-1*AF52</f>
        <v>-517500</v>
      </c>
      <c r="AG50" s="135">
        <f>'Funding Allocation'!P36*1000*-1*AG52</f>
        <v>-517500</v>
      </c>
      <c r="AH50" s="199">
        <f>'Funding Allocation'!R36*1000*-1*AH52</f>
        <v>-371250.00000000006</v>
      </c>
      <c r="AI50" s="135">
        <f>'Funding Allocation'!S36*1000*-1*AI52</f>
        <v>-371250.00000000006</v>
      </c>
      <c r="AJ50" s="135">
        <f>'Funding Allocation'!T36*1000*-1*AJ52</f>
        <v>-371250.00000000006</v>
      </c>
      <c r="AK50" s="134">
        <f>'Funding Allocation'!U36*1000*-1*AK52</f>
        <v>-371250.00000000006</v>
      </c>
      <c r="AL50" s="199">
        <f>'Funding Allocation'!W36*1000*-1*AL52</f>
        <v>-318750</v>
      </c>
      <c r="AM50" s="135">
        <f>'Funding Allocation'!X36*1000*-1*AM52</f>
        <v>-318750</v>
      </c>
      <c r="AN50" s="135">
        <f>'Funding Allocation'!Y36*1000*-1*AN52</f>
        <v>-318750</v>
      </c>
      <c r="AO50" s="134">
        <f>'Funding Allocation'!Z36*1000*-1*AO52</f>
        <v>-318750</v>
      </c>
      <c r="AP50" s="199">
        <f>'Funding Allocation'!AB36*1000*-1*AP52</f>
        <v>-300000</v>
      </c>
      <c r="AQ50" s="135">
        <f>'Funding Allocation'!AC36*1000*-1*AQ52</f>
        <v>-300000</v>
      </c>
      <c r="AR50" s="135">
        <f>'Funding Allocation'!AD36*1000*-1*AR52</f>
        <v>-300000</v>
      </c>
      <c r="AS50" s="134">
        <f>'Funding Allocation'!AE36*1000*-1*AS52</f>
        <v>-300000</v>
      </c>
      <c r="AT50" s="105"/>
      <c r="AU50" s="105"/>
      <c r="AV50" s="105"/>
      <c r="AW50" s="105"/>
      <c r="AX50" s="105"/>
      <c r="AY50" s="105"/>
    </row>
    <row r="51" spans="1:51" s="66" customFormat="1" hidden="1" outlineLevel="1" x14ac:dyDescent="0.3">
      <c r="A51" s="133" t="s">
        <v>108</v>
      </c>
      <c r="B51" s="106"/>
      <c r="C51" s="477"/>
      <c r="D51" s="477"/>
      <c r="E51" s="477"/>
      <c r="F51" s="477"/>
      <c r="G51" s="477"/>
      <c r="H51" s="477"/>
      <c r="I51" s="477"/>
      <c r="J51" s="477"/>
      <c r="K51" s="476"/>
      <c r="L51" s="476"/>
      <c r="M51" s="476"/>
      <c r="N51" s="476"/>
      <c r="O51" s="476"/>
      <c r="P51" s="476"/>
      <c r="Q51" s="476"/>
      <c r="R51" s="476"/>
      <c r="S51" s="478"/>
      <c r="T51" s="479"/>
      <c r="U51" s="480"/>
      <c r="V51" s="481"/>
      <c r="W51" s="481"/>
      <c r="X51" s="122"/>
      <c r="Y51" s="122"/>
      <c r="Z51" s="478">
        <f>Z50</f>
        <v>-682500</v>
      </c>
      <c r="AA51" s="122">
        <f>Z51+AA50</f>
        <v>-1365000</v>
      </c>
      <c r="AB51" s="122">
        <f t="shared" ref="AB51:AC51" si="118">AA51+AB50</f>
        <v>-2047500</v>
      </c>
      <c r="AC51" s="122">
        <f t="shared" si="118"/>
        <v>-2730000</v>
      </c>
      <c r="AD51" s="122">
        <f t="shared" ref="AD51" si="119">AC51+AD50</f>
        <v>-3247500</v>
      </c>
      <c r="AE51" s="122">
        <f t="shared" ref="AE51" si="120">AD51+AE50</f>
        <v>-3765000</v>
      </c>
      <c r="AF51" s="122">
        <f t="shared" ref="AF51" si="121">AE51+AF50</f>
        <v>-4282500</v>
      </c>
      <c r="AG51" s="122">
        <f t="shared" ref="AG51" si="122">AF51+AG50</f>
        <v>-4800000</v>
      </c>
      <c r="AH51" s="122">
        <f t="shared" ref="AH51" si="123">AG51+AH50</f>
        <v>-5171250</v>
      </c>
      <c r="AI51" s="122">
        <f t="shared" ref="AI51" si="124">AH51+AI50</f>
        <v>-5542500</v>
      </c>
      <c r="AJ51" s="122">
        <f t="shared" ref="AJ51" si="125">AI51+AJ50</f>
        <v>-5913750</v>
      </c>
      <c r="AK51" s="122">
        <f t="shared" ref="AK51" si="126">AJ51+AK50</f>
        <v>-6285000</v>
      </c>
      <c r="AL51" s="122">
        <f t="shared" ref="AL51" si="127">AK51+AL50</f>
        <v>-6603750</v>
      </c>
      <c r="AM51" s="122">
        <f t="shared" ref="AM51" si="128">AL51+AM50</f>
        <v>-6922500</v>
      </c>
      <c r="AN51" s="122">
        <f t="shared" ref="AN51" si="129">AM51+AN50</f>
        <v>-7241250</v>
      </c>
      <c r="AO51" s="122">
        <f t="shared" ref="AO51" si="130">AN51+AO50</f>
        <v>-7560000</v>
      </c>
      <c r="AP51" s="122">
        <f t="shared" ref="AP51" si="131">AO51+AP50</f>
        <v>-7860000</v>
      </c>
      <c r="AQ51" s="122">
        <f t="shared" ref="AQ51" si="132">AP51+AQ50</f>
        <v>-8160000</v>
      </c>
      <c r="AR51" s="122">
        <f t="shared" ref="AR51" si="133">AQ51+AR50</f>
        <v>-8460000</v>
      </c>
      <c r="AS51" s="286">
        <f t="shared" ref="AS51" si="134">AR51+AS50</f>
        <v>-8760000</v>
      </c>
      <c r="AT51" s="105"/>
      <c r="AU51" s="105"/>
      <c r="AV51" s="105"/>
      <c r="AW51" s="105"/>
      <c r="AX51" s="105"/>
      <c r="AY51" s="105"/>
    </row>
    <row r="52" spans="1:51" s="66" customFormat="1" hidden="1" outlineLevel="1" x14ac:dyDescent="0.3">
      <c r="A52" s="107"/>
      <c r="C52" s="106"/>
      <c r="D52" s="106"/>
      <c r="E52" s="106"/>
      <c r="F52" s="106"/>
      <c r="G52" s="106"/>
      <c r="H52" s="106"/>
      <c r="I52" s="106"/>
      <c r="J52" s="106"/>
      <c r="K52" s="106"/>
      <c r="L52" s="106"/>
      <c r="M52" s="106"/>
      <c r="N52" s="106"/>
      <c r="O52" s="106"/>
      <c r="P52" s="106"/>
      <c r="Q52" s="106"/>
      <c r="R52" s="106"/>
      <c r="S52" s="123"/>
      <c r="T52" s="136"/>
      <c r="U52" s="198"/>
      <c r="V52" s="298"/>
      <c r="W52" s="298"/>
      <c r="X52" s="136"/>
      <c r="Y52" s="136"/>
      <c r="Z52" s="123">
        <f>'Funding Allocation'!$C$29</f>
        <v>0.7</v>
      </c>
      <c r="AA52" s="136">
        <f>'Funding Allocation'!$C$29</f>
        <v>0.7</v>
      </c>
      <c r="AB52" s="136">
        <f>'Funding Allocation'!$C$29</f>
        <v>0.7</v>
      </c>
      <c r="AC52" s="198">
        <f>'Funding Allocation'!$C$29</f>
        <v>0.7</v>
      </c>
      <c r="AD52" s="136">
        <f>'Funding Allocation'!$D$29</f>
        <v>0.6</v>
      </c>
      <c r="AE52" s="136">
        <f>'Funding Allocation'!$D$29</f>
        <v>0.6</v>
      </c>
      <c r="AF52" s="136">
        <f>'Funding Allocation'!$D$29</f>
        <v>0.6</v>
      </c>
      <c r="AG52" s="136">
        <f>'Funding Allocation'!$D$29</f>
        <v>0.6</v>
      </c>
      <c r="AH52" s="123">
        <f>'Funding Allocation'!$E$29</f>
        <v>0.55000000000000004</v>
      </c>
      <c r="AI52" s="136">
        <f>'Funding Allocation'!$E$29</f>
        <v>0.55000000000000004</v>
      </c>
      <c r="AJ52" s="136">
        <f>'Funding Allocation'!$E$29</f>
        <v>0.55000000000000004</v>
      </c>
      <c r="AK52" s="198">
        <f>'Funding Allocation'!$E$29</f>
        <v>0.55000000000000004</v>
      </c>
      <c r="AL52" s="123">
        <f>'Funding Allocation'!$F$29</f>
        <v>0.5</v>
      </c>
      <c r="AM52" s="136">
        <f>'Funding Allocation'!$F$29</f>
        <v>0.5</v>
      </c>
      <c r="AN52" s="136">
        <f>'Funding Allocation'!$F$29</f>
        <v>0.5</v>
      </c>
      <c r="AO52" s="198">
        <f>'Funding Allocation'!$F$29</f>
        <v>0.5</v>
      </c>
      <c r="AP52" s="123">
        <f>'Funding Allocation'!$G$29</f>
        <v>0.5</v>
      </c>
      <c r="AQ52" s="136">
        <f>'Funding Allocation'!$G$29</f>
        <v>0.5</v>
      </c>
      <c r="AR52" s="136">
        <f>'Funding Allocation'!$G$29</f>
        <v>0.5</v>
      </c>
      <c r="AS52" s="198">
        <f>'Funding Allocation'!$G$29</f>
        <v>0.5</v>
      </c>
      <c r="AT52" s="105"/>
      <c r="AU52" s="105"/>
      <c r="AV52" s="105"/>
      <c r="AW52" s="105"/>
      <c r="AX52" s="105"/>
      <c r="AY52" s="105"/>
    </row>
    <row r="53" spans="1:51" s="66" customFormat="1" collapsed="1" x14ac:dyDescent="0.3">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08"/>
      <c r="AS53" s="108"/>
    </row>
    <row r="54" spans="1:51" s="66" customFormat="1" x14ac:dyDescent="0.3">
      <c r="T54" s="69"/>
    </row>
    <row r="55" spans="1:51" s="66" customFormat="1" x14ac:dyDescent="0.3">
      <c r="T55" s="69"/>
    </row>
    <row r="56" spans="1:51" s="66" customFormat="1" hidden="1" outlineLevel="1" x14ac:dyDescent="0.3">
      <c r="A56" s="44" t="s">
        <v>129</v>
      </c>
      <c r="T56" s="69"/>
    </row>
    <row r="57" spans="1:51" s="66" customFormat="1" hidden="1" outlineLevel="1" x14ac:dyDescent="0.3">
      <c r="A57" s="195" t="s">
        <v>214</v>
      </c>
      <c r="B57" s="205"/>
      <c r="C57" s="76"/>
      <c r="D57" s="76"/>
      <c r="E57" s="76"/>
      <c r="F57" s="76"/>
      <c r="G57" s="76"/>
      <c r="H57" s="76"/>
      <c r="I57" s="76"/>
      <c r="J57" s="76"/>
      <c r="K57" s="76"/>
      <c r="L57" s="76"/>
      <c r="M57" s="76"/>
      <c r="N57" s="76"/>
      <c r="O57" s="76"/>
      <c r="P57" s="76"/>
      <c r="Q57" s="76"/>
      <c r="R57" s="201">
        <v>9870</v>
      </c>
      <c r="S57" s="200">
        <f>ROUND(S$7*6%, 0)</f>
        <v>12012</v>
      </c>
      <c r="T57" s="109">
        <f>ROUND(T$7*6%, 0)</f>
        <v>11297</v>
      </c>
      <c r="U57" s="109">
        <f>ROUND(U$7*6%, 0)</f>
        <v>10654</v>
      </c>
      <c r="V57" s="135"/>
      <c r="W57" s="109"/>
      <c r="X57" s="109">
        <f>SUM(P57:R57)</f>
        <v>9870</v>
      </c>
      <c r="Y57" s="201">
        <f>SUM(S57:U57)</f>
        <v>33963</v>
      </c>
      <c r="Z57" s="109">
        <f t="shared" ref="Z57:AS57" si="135">ROUND(6%*Z$7, 0)</f>
        <v>28697</v>
      </c>
      <c r="AA57" s="109">
        <f t="shared" si="135"/>
        <v>34989</v>
      </c>
      <c r="AB57" s="109">
        <f t="shared" si="135"/>
        <v>38758</v>
      </c>
      <c r="AC57" s="109">
        <f t="shared" si="135"/>
        <v>42010</v>
      </c>
      <c r="AD57" s="200">
        <f t="shared" si="135"/>
        <v>43598</v>
      </c>
      <c r="AE57" s="109">
        <f t="shared" si="135"/>
        <v>44715</v>
      </c>
      <c r="AF57" s="109">
        <f t="shared" si="135"/>
        <v>46200</v>
      </c>
      <c r="AG57" s="201">
        <f t="shared" si="135"/>
        <v>48020</v>
      </c>
      <c r="AH57" s="109">
        <f t="shared" si="135"/>
        <v>48973</v>
      </c>
      <c r="AI57" s="109">
        <f t="shared" si="135"/>
        <v>49984</v>
      </c>
      <c r="AJ57" s="109">
        <f t="shared" si="135"/>
        <v>51703</v>
      </c>
      <c r="AK57" s="109">
        <f t="shared" si="135"/>
        <v>54036</v>
      </c>
      <c r="AL57" s="200">
        <f t="shared" si="135"/>
        <v>56418</v>
      </c>
      <c r="AM57" s="109">
        <f t="shared" si="135"/>
        <v>59274</v>
      </c>
      <c r="AN57" s="109">
        <f t="shared" si="135"/>
        <v>62768</v>
      </c>
      <c r="AO57" s="201">
        <f t="shared" si="135"/>
        <v>66953</v>
      </c>
      <c r="AP57" s="200">
        <f t="shared" si="135"/>
        <v>71502</v>
      </c>
      <c r="AQ57" s="109">
        <f t="shared" si="135"/>
        <v>76682</v>
      </c>
      <c r="AR57" s="109">
        <f t="shared" si="135"/>
        <v>82559</v>
      </c>
      <c r="AS57" s="201">
        <f t="shared" si="135"/>
        <v>89153</v>
      </c>
    </row>
    <row r="58" spans="1:51" s="66" customFormat="1" hidden="1" outlineLevel="1" x14ac:dyDescent="0.3">
      <c r="A58" s="194" t="s">
        <v>215</v>
      </c>
      <c r="B58" s="206"/>
      <c r="C58" s="69"/>
      <c r="D58" s="69"/>
      <c r="E58" s="69"/>
      <c r="F58" s="69"/>
      <c r="G58" s="69"/>
      <c r="H58" s="69"/>
      <c r="I58" s="69"/>
      <c r="J58" s="69"/>
      <c r="K58" s="69"/>
      <c r="L58" s="69"/>
      <c r="M58" s="69"/>
      <c r="N58" s="69"/>
      <c r="O58" s="69"/>
      <c r="P58" s="69"/>
      <c r="Q58" s="69"/>
      <c r="R58" s="78">
        <f>R7-R57-R59</f>
        <v>128087</v>
      </c>
      <c r="S58" s="202">
        <f>S$7*(1-0.06-$B$48)</f>
        <v>68069.7</v>
      </c>
      <c r="T58" s="110">
        <f>T$7*(1-0.06-$B$48)</f>
        <v>64015.199999999997</v>
      </c>
      <c r="U58" s="110">
        <f>U$7*(1-0.06-$B$48)</f>
        <v>60373.799999999996</v>
      </c>
      <c r="V58" s="131"/>
      <c r="W58" s="110"/>
      <c r="X58" s="110">
        <f>SUM(P58:R58)</f>
        <v>128087</v>
      </c>
      <c r="Y58" s="172">
        <f>SUM(S58:U58)</f>
        <v>192458.69999999998</v>
      </c>
      <c r="Z58" s="110">
        <f t="shared" ref="Z58:AS58" si="136">Z$7*(1-0.06-$B$48)</f>
        <v>162613.94392903888</v>
      </c>
      <c r="AA58" s="110">
        <f t="shared" si="136"/>
        <v>198269.70658426936</v>
      </c>
      <c r="AB58" s="110">
        <f t="shared" si="136"/>
        <v>219629.65929593236</v>
      </c>
      <c r="AC58" s="110">
        <f t="shared" si="136"/>
        <v>238055.01409233475</v>
      </c>
      <c r="AD58" s="202">
        <f t="shared" si="136"/>
        <v>247052.94193547204</v>
      </c>
      <c r="AE58" s="110">
        <f t="shared" si="136"/>
        <v>253384.98894933509</v>
      </c>
      <c r="AF58" s="110">
        <f t="shared" si="136"/>
        <v>261799.657700279</v>
      </c>
      <c r="AG58" s="203">
        <f t="shared" si="136"/>
        <v>272112.41834533832</v>
      </c>
      <c r="AH58" s="110">
        <f t="shared" si="136"/>
        <v>277513.85969377018</v>
      </c>
      <c r="AI58" s="110">
        <f t="shared" si="136"/>
        <v>283244.99840877886</v>
      </c>
      <c r="AJ58" s="110">
        <f t="shared" si="136"/>
        <v>292984.53827622219</v>
      </c>
      <c r="AK58" s="110">
        <f t="shared" si="136"/>
        <v>306202.35655821068</v>
      </c>
      <c r="AL58" s="202">
        <f t="shared" si="136"/>
        <v>319702.84954246104</v>
      </c>
      <c r="AM58" s="110">
        <f t="shared" si="136"/>
        <v>335888.41802328557</v>
      </c>
      <c r="AN58" s="110">
        <f t="shared" si="136"/>
        <v>355682.86391811003</v>
      </c>
      <c r="AO58" s="203">
        <f t="shared" si="136"/>
        <v>379402.28013274114</v>
      </c>
      <c r="AP58" s="202">
        <f t="shared" si="136"/>
        <v>405180.03663026879</v>
      </c>
      <c r="AQ58" s="110">
        <f t="shared" si="136"/>
        <v>434531.98288281856</v>
      </c>
      <c r="AR58" s="110">
        <f t="shared" si="136"/>
        <v>467832.12369488669</v>
      </c>
      <c r="AS58" s="203">
        <f t="shared" si="136"/>
        <v>505200.75554023928</v>
      </c>
    </row>
    <row r="59" spans="1:51" s="66" customFormat="1" hidden="1" outlineLevel="1" x14ac:dyDescent="0.3">
      <c r="A59" s="194" t="s">
        <v>216</v>
      </c>
      <c r="B59" s="206"/>
      <c r="C59" s="69"/>
      <c r="D59" s="69"/>
      <c r="E59" s="69"/>
      <c r="F59" s="69"/>
      <c r="G59" s="69"/>
      <c r="H59" s="69"/>
      <c r="I59" s="69"/>
      <c r="J59" s="69"/>
      <c r="K59" s="69"/>
      <c r="L59" s="69"/>
      <c r="M59" s="69"/>
      <c r="N59" s="69"/>
      <c r="O59" s="69"/>
      <c r="P59" s="69"/>
      <c r="Q59" s="69"/>
      <c r="R59" s="203">
        <v>41732</v>
      </c>
      <c r="S59" s="202">
        <f>ROUND(S$7*$B$48, 0)</f>
        <v>120123</v>
      </c>
      <c r="T59" s="110">
        <f>ROUND(T$7*$B$48, 0)</f>
        <v>112968</v>
      </c>
      <c r="U59" s="110">
        <f>ROUND(U$7*$B$48, 0)</f>
        <v>106542</v>
      </c>
      <c r="V59" s="110"/>
      <c r="W59" s="110"/>
      <c r="X59" s="110">
        <f>SUM(P59:R59)</f>
        <v>41732</v>
      </c>
      <c r="Y59" s="203">
        <f>SUM(S59:U59)</f>
        <v>339633</v>
      </c>
      <c r="Z59" s="110">
        <f t="shared" ref="Z59:AS59" si="137">ROUND(Z$7*$B$48, 0)</f>
        <v>286966</v>
      </c>
      <c r="AA59" s="110">
        <f t="shared" si="137"/>
        <v>349888</v>
      </c>
      <c r="AB59" s="110">
        <f t="shared" si="137"/>
        <v>387582</v>
      </c>
      <c r="AC59" s="110">
        <f t="shared" si="137"/>
        <v>420097</v>
      </c>
      <c r="AD59" s="202">
        <f t="shared" si="137"/>
        <v>435976</v>
      </c>
      <c r="AE59" s="110">
        <f t="shared" si="137"/>
        <v>447150</v>
      </c>
      <c r="AF59" s="110">
        <f t="shared" si="137"/>
        <v>461999</v>
      </c>
      <c r="AG59" s="203">
        <f t="shared" si="137"/>
        <v>480198</v>
      </c>
      <c r="AH59" s="110">
        <f t="shared" si="137"/>
        <v>489730</v>
      </c>
      <c r="AI59" s="110">
        <f t="shared" si="137"/>
        <v>499844</v>
      </c>
      <c r="AJ59" s="110">
        <f t="shared" si="137"/>
        <v>517032</v>
      </c>
      <c r="AK59" s="110">
        <f t="shared" si="137"/>
        <v>540357</v>
      </c>
      <c r="AL59" s="202">
        <f t="shared" si="137"/>
        <v>564181</v>
      </c>
      <c r="AM59" s="110">
        <f t="shared" si="137"/>
        <v>592744</v>
      </c>
      <c r="AN59" s="110">
        <f t="shared" si="137"/>
        <v>627676</v>
      </c>
      <c r="AO59" s="203">
        <f t="shared" si="137"/>
        <v>669533</v>
      </c>
      <c r="AP59" s="202">
        <f t="shared" si="137"/>
        <v>715024</v>
      </c>
      <c r="AQ59" s="110">
        <f t="shared" si="137"/>
        <v>766821</v>
      </c>
      <c r="AR59" s="110">
        <f t="shared" si="137"/>
        <v>825586</v>
      </c>
      <c r="AS59" s="203">
        <f t="shared" si="137"/>
        <v>891531</v>
      </c>
    </row>
    <row r="60" spans="1:51" s="204" customFormat="1" hidden="1" outlineLevel="1" x14ac:dyDescent="0.3">
      <c r="A60" s="569" t="s">
        <v>130</v>
      </c>
      <c r="B60" s="221"/>
      <c r="C60" s="221"/>
      <c r="D60" s="221"/>
      <c r="E60" s="221"/>
      <c r="F60" s="221"/>
      <c r="G60" s="221"/>
      <c r="H60" s="221"/>
      <c r="I60" s="221"/>
      <c r="J60" s="221"/>
      <c r="K60" s="221"/>
      <c r="L60" s="221"/>
      <c r="M60" s="221"/>
      <c r="N60" s="221"/>
      <c r="O60" s="221"/>
      <c r="P60" s="221"/>
      <c r="Q60" s="221"/>
      <c r="R60" s="269">
        <f>7002.72/1.176</f>
        <v>5954.6938775510207</v>
      </c>
      <c r="S60" s="269">
        <f>$R$60/$R$59*S59</f>
        <v>17140.220757525673</v>
      </c>
      <c r="T60" s="269">
        <f>$R$60/$R$59*T59</f>
        <v>16119.28155753819</v>
      </c>
      <c r="U60" s="269">
        <f>$R$60/$R$59*U59</f>
        <v>15202.362577926793</v>
      </c>
      <c r="V60" s="269"/>
      <c r="W60" s="269"/>
      <c r="X60" s="269">
        <f>P60+Q60+R60</f>
        <v>5954.6938775510207</v>
      </c>
      <c r="Y60" s="270">
        <f>SUM(S60:U60)</f>
        <v>48461.864892990649</v>
      </c>
      <c r="Z60" s="269">
        <f t="shared" ref="Z60:AS60" si="138">$R$60/$R$59*Z59</f>
        <v>40946.867709798389</v>
      </c>
      <c r="AA60" s="269">
        <f t="shared" si="138"/>
        <v>49925.139735180957</v>
      </c>
      <c r="AB60" s="269">
        <f t="shared" si="138"/>
        <v>55303.655766533593</v>
      </c>
      <c r="AC60" s="269">
        <f t="shared" si="138"/>
        <v>59943.185897573836</v>
      </c>
      <c r="AD60" s="294">
        <f t="shared" si="138"/>
        <v>62208.943208070159</v>
      </c>
      <c r="AE60" s="269">
        <f t="shared" si="138"/>
        <v>63803.349164836072</v>
      </c>
      <c r="AF60" s="269">
        <f t="shared" si="138"/>
        <v>65922.136890987589</v>
      </c>
      <c r="AG60" s="270">
        <f t="shared" si="138"/>
        <v>68518.932488551844</v>
      </c>
      <c r="AH60" s="269">
        <f t="shared" si="138"/>
        <v>69879.043243867098</v>
      </c>
      <c r="AI60" s="269">
        <f t="shared" si="138"/>
        <v>71322.198948783014</v>
      </c>
      <c r="AJ60" s="269">
        <f t="shared" si="138"/>
        <v>73774.736051422398</v>
      </c>
      <c r="AK60" s="269">
        <f t="shared" si="138"/>
        <v>77102.955036706539</v>
      </c>
      <c r="AL60" s="294">
        <f t="shared" si="138"/>
        <v>80502.375791493643</v>
      </c>
      <c r="AM60" s="269">
        <f t="shared" si="138"/>
        <v>84577.999323183714</v>
      </c>
      <c r="AN60" s="269">
        <f t="shared" si="138"/>
        <v>89562.40856622532</v>
      </c>
      <c r="AO60" s="270">
        <f t="shared" si="138"/>
        <v>95534.938558381284</v>
      </c>
      <c r="AP60" s="294">
        <f t="shared" si="138"/>
        <v>102026.00007433243</v>
      </c>
      <c r="AQ60" s="269">
        <f t="shared" si="138"/>
        <v>109416.85789987423</v>
      </c>
      <c r="AR60" s="269">
        <f t="shared" si="138"/>
        <v>117801.97209795451</v>
      </c>
      <c r="AS60" s="270">
        <f t="shared" si="138"/>
        <v>127211.59271894324</v>
      </c>
      <c r="AT60" s="221"/>
    </row>
    <row r="61" spans="1:51" s="66" customFormat="1" hidden="1" outlineLevel="1" x14ac:dyDescent="0.3">
      <c r="A61" s="300" t="s">
        <v>233</v>
      </c>
      <c r="B61" s="568"/>
      <c r="C61" s="568"/>
      <c r="D61" s="568"/>
      <c r="E61" s="568"/>
      <c r="F61" s="568"/>
      <c r="G61" s="568"/>
      <c r="H61" s="568"/>
      <c r="I61" s="568"/>
      <c r="J61" s="568"/>
      <c r="K61" s="568"/>
      <c r="L61" s="568"/>
      <c r="M61" s="568"/>
      <c r="N61" s="568"/>
      <c r="O61" s="568"/>
      <c r="P61" s="568"/>
      <c r="Q61" s="568"/>
      <c r="R61" s="568"/>
      <c r="S61" s="568"/>
      <c r="T61" s="568"/>
      <c r="U61" s="568"/>
      <c r="V61" s="568"/>
      <c r="W61" s="568"/>
      <c r="X61" s="568"/>
      <c r="Y61" s="570"/>
      <c r="Z61" s="279">
        <f>Z59/Z7*Z8</f>
        <v>6201283606.1199999</v>
      </c>
      <c r="AA61" s="279">
        <f t="shared" ref="AA61:AS61" si="139">AA59/AA7*AA8</f>
        <v>7561016700.1599989</v>
      </c>
      <c r="AB61" s="279">
        <f t="shared" si="139"/>
        <v>8375577255.2399998</v>
      </c>
      <c r="AC61" s="279">
        <f t="shared" si="139"/>
        <v>9078220552.539999</v>
      </c>
      <c r="AD61" s="280">
        <f t="shared" si="139"/>
        <v>9421362884.3199997</v>
      </c>
      <c r="AE61" s="279">
        <f t="shared" si="139"/>
        <v>9662831013</v>
      </c>
      <c r="AF61" s="279">
        <f t="shared" si="139"/>
        <v>9983715230.1800003</v>
      </c>
      <c r="AG61" s="281">
        <f t="shared" si="139"/>
        <v>10376992344.360003</v>
      </c>
      <c r="AH61" s="279">
        <f t="shared" si="139"/>
        <v>10582977148.599998</v>
      </c>
      <c r="AI61" s="279">
        <f t="shared" si="139"/>
        <v>10801538868.080002</v>
      </c>
      <c r="AJ61" s="279">
        <f t="shared" si="139"/>
        <v>11172968454.24</v>
      </c>
      <c r="AK61" s="279">
        <f t="shared" si="139"/>
        <v>11677017505.740002</v>
      </c>
      <c r="AL61" s="280">
        <f t="shared" si="139"/>
        <v>12191849857.42</v>
      </c>
      <c r="AM61" s="279">
        <f t="shared" si="139"/>
        <v>12809091146.080002</v>
      </c>
      <c r="AN61" s="279">
        <f t="shared" si="139"/>
        <v>13563965378.320002</v>
      </c>
      <c r="AO61" s="281">
        <f t="shared" si="139"/>
        <v>14468487614.060001</v>
      </c>
      <c r="AP61" s="280">
        <f t="shared" si="139"/>
        <v>15451539935.679998</v>
      </c>
      <c r="AQ61" s="279">
        <f t="shared" si="139"/>
        <v>16570863782.219999</v>
      </c>
      <c r="AR61" s="279">
        <f t="shared" si="139"/>
        <v>17840764854.52</v>
      </c>
      <c r="AS61" s="281">
        <f t="shared" si="139"/>
        <v>19265824434.420002</v>
      </c>
      <c r="AT61" s="69"/>
    </row>
    <row r="62" spans="1:51" s="66" customFormat="1" collapsed="1" x14ac:dyDescent="0.3">
      <c r="J62" s="111"/>
      <c r="T62" s="69"/>
    </row>
    <row r="63" spans="1:51" s="66" customFormat="1" hidden="1" outlineLevel="1" x14ac:dyDescent="0.3">
      <c r="A63" s="44" t="s">
        <v>127</v>
      </c>
      <c r="T63" s="69"/>
    </row>
    <row r="64" spans="1:51" s="66" customFormat="1" hidden="1" outlineLevel="1" x14ac:dyDescent="0.3">
      <c r="A64" s="289" t="s">
        <v>99</v>
      </c>
      <c r="B64" s="113"/>
      <c r="C64" s="113"/>
      <c r="D64" s="113"/>
      <c r="E64" s="113"/>
      <c r="F64" s="113"/>
      <c r="G64" s="113"/>
      <c r="H64" s="113"/>
      <c r="I64" s="113"/>
      <c r="J64" s="290"/>
      <c r="K64" s="113"/>
      <c r="L64" s="113"/>
      <c r="M64" s="113"/>
      <c r="N64" s="113"/>
      <c r="O64" s="113"/>
      <c r="P64" s="113"/>
      <c r="Q64" s="113"/>
      <c r="R64" s="113"/>
      <c r="S64" s="113"/>
      <c r="T64" s="291"/>
      <c r="U64" s="113"/>
      <c r="V64" s="292">
        <f t="shared" ref="V64:AS64" si="140">V21</f>
        <v>1558</v>
      </c>
      <c r="W64" s="292">
        <f t="shared" si="140"/>
        <v>1173</v>
      </c>
      <c r="X64" s="292">
        <f t="shared" si="140"/>
        <v>1678</v>
      </c>
      <c r="Y64" s="292">
        <f t="shared" si="140"/>
        <v>540</v>
      </c>
      <c r="Z64" s="292">
        <f t="shared" si="140"/>
        <v>2271.5</v>
      </c>
      <c r="AA64" s="292">
        <f t="shared" si="140"/>
        <v>1790.9</v>
      </c>
      <c r="AB64" s="292">
        <f t="shared" si="140"/>
        <v>1856.24</v>
      </c>
      <c r="AC64" s="292">
        <f t="shared" si="140"/>
        <v>1928.114</v>
      </c>
      <c r="AD64" s="292">
        <f t="shared" si="140"/>
        <v>1732.1754000000003</v>
      </c>
      <c r="AE64" s="292">
        <f t="shared" si="140"/>
        <v>1819.1429400000002</v>
      </c>
      <c r="AF64" s="292">
        <f t="shared" si="140"/>
        <v>1914.8072340000008</v>
      </c>
      <c r="AG64" s="292">
        <f t="shared" si="140"/>
        <v>2020.0379574000006</v>
      </c>
      <c r="AH64" s="292">
        <f t="shared" si="140"/>
        <v>1892.0417531400008</v>
      </c>
      <c r="AI64" s="292">
        <f t="shared" si="140"/>
        <v>2019.3709284540009</v>
      </c>
      <c r="AJ64" s="292">
        <f t="shared" si="140"/>
        <v>2159.4330212994014</v>
      </c>
      <c r="AK64" s="292">
        <f t="shared" si="140"/>
        <v>2313.5013234293415</v>
      </c>
      <c r="AL64" s="292">
        <f t="shared" si="140"/>
        <v>2395.4764557722756</v>
      </c>
      <c r="AM64" s="292">
        <f t="shared" si="140"/>
        <v>2581.8991013495033</v>
      </c>
      <c r="AN64" s="292">
        <f t="shared" si="140"/>
        <v>2786.9640114844537</v>
      </c>
      <c r="AO64" s="292">
        <f t="shared" si="140"/>
        <v>3012.5354126328994</v>
      </c>
      <c r="AP64" s="292">
        <f t="shared" si="140"/>
        <v>3229.413953896189</v>
      </c>
      <c r="AQ64" s="292">
        <f t="shared" si="140"/>
        <v>3502.3553492858082</v>
      </c>
      <c r="AR64" s="292">
        <f t="shared" si="140"/>
        <v>3802.5908842143899</v>
      </c>
      <c r="AS64" s="292">
        <f t="shared" si="140"/>
        <v>4132.8499726358286</v>
      </c>
    </row>
    <row r="65" spans="1:45" s="66" customFormat="1" hidden="1" outlineLevel="1" x14ac:dyDescent="0.3">
      <c r="A65" s="113" t="s">
        <v>147</v>
      </c>
      <c r="B65" s="113"/>
      <c r="C65" s="113"/>
      <c r="D65" s="113"/>
      <c r="E65" s="113"/>
      <c r="F65" s="113"/>
      <c r="G65" s="113"/>
      <c r="H65" s="113"/>
      <c r="I65" s="113"/>
      <c r="J65" s="113"/>
      <c r="K65" s="113"/>
      <c r="L65" s="113"/>
      <c r="M65" s="113"/>
      <c r="N65" s="113"/>
      <c r="O65" s="113"/>
      <c r="P65" s="113"/>
      <c r="Q65" s="113"/>
      <c r="R65" s="113"/>
      <c r="S65" s="113"/>
      <c r="T65" s="291"/>
      <c r="U65" s="291"/>
      <c r="V65" s="293">
        <f t="shared" ref="V65:AS65" si="141">V$64*(1-$B$41)^3</f>
        <v>1135.7820000000002</v>
      </c>
      <c r="W65" s="293">
        <f t="shared" si="141"/>
        <v>855.11700000000008</v>
      </c>
      <c r="X65" s="293">
        <f t="shared" si="141"/>
        <v>1223.2620000000002</v>
      </c>
      <c r="Y65" s="293">
        <f t="shared" si="141"/>
        <v>393.66</v>
      </c>
      <c r="Z65" s="293">
        <f t="shared" si="141"/>
        <v>1655.9235000000001</v>
      </c>
      <c r="AA65" s="293">
        <f t="shared" si="141"/>
        <v>1305.5661000000002</v>
      </c>
      <c r="AB65" s="293">
        <f t="shared" si="141"/>
        <v>1353.1989600000002</v>
      </c>
      <c r="AC65" s="293">
        <f t="shared" si="141"/>
        <v>1405.5951060000002</v>
      </c>
      <c r="AD65" s="293">
        <f t="shared" si="141"/>
        <v>1262.7558666000004</v>
      </c>
      <c r="AE65" s="293">
        <f t="shared" si="141"/>
        <v>1326.1552032600002</v>
      </c>
      <c r="AF65" s="293">
        <f t="shared" si="141"/>
        <v>1395.8944735860007</v>
      </c>
      <c r="AG65" s="293">
        <f t="shared" si="141"/>
        <v>1472.6076709446006</v>
      </c>
      <c r="AH65" s="293">
        <f t="shared" si="141"/>
        <v>1379.2984380390608</v>
      </c>
      <c r="AI65" s="293">
        <f t="shared" si="141"/>
        <v>1472.121406842967</v>
      </c>
      <c r="AJ65" s="293">
        <f t="shared" si="141"/>
        <v>1574.2266725272639</v>
      </c>
      <c r="AK65" s="293">
        <f t="shared" si="141"/>
        <v>1686.54246477999</v>
      </c>
      <c r="AL65" s="293">
        <f t="shared" si="141"/>
        <v>1746.3023362579891</v>
      </c>
      <c r="AM65" s="293">
        <f t="shared" si="141"/>
        <v>1882.2044448837883</v>
      </c>
      <c r="AN65" s="293">
        <f t="shared" si="141"/>
        <v>2031.6967643721671</v>
      </c>
      <c r="AO65" s="293">
        <f t="shared" si="141"/>
        <v>2196.138315809384</v>
      </c>
      <c r="AP65" s="293">
        <f t="shared" si="141"/>
        <v>2354.242772390322</v>
      </c>
      <c r="AQ65" s="293">
        <f t="shared" si="141"/>
        <v>2553.2170496293543</v>
      </c>
      <c r="AR65" s="293">
        <f t="shared" si="141"/>
        <v>2772.0887545922906</v>
      </c>
      <c r="AS65" s="293">
        <f t="shared" si="141"/>
        <v>3012.8476300515194</v>
      </c>
    </row>
    <row r="66" spans="1:45" s="66" customFormat="1" hidden="1" outlineLevel="1" x14ac:dyDescent="0.3">
      <c r="A66" s="113" t="s">
        <v>148</v>
      </c>
      <c r="B66" s="113"/>
      <c r="C66" s="113"/>
      <c r="D66" s="113"/>
      <c r="E66" s="113"/>
      <c r="F66" s="113"/>
      <c r="G66" s="113"/>
      <c r="H66" s="113"/>
      <c r="I66" s="113"/>
      <c r="J66" s="113"/>
      <c r="K66" s="113"/>
      <c r="L66" s="113"/>
      <c r="M66" s="113"/>
      <c r="N66" s="113"/>
      <c r="O66" s="113"/>
      <c r="P66" s="113"/>
      <c r="Q66" s="113"/>
      <c r="R66" s="113"/>
      <c r="S66" s="113"/>
      <c r="T66" s="291"/>
      <c r="U66" s="291"/>
      <c r="V66" s="293">
        <f t="shared" ref="V66:AS66" si="142">V$64*(1-$B$41)^6</f>
        <v>827.98507800000027</v>
      </c>
      <c r="W66" s="293">
        <f t="shared" si="142"/>
        <v>623.38029300000017</v>
      </c>
      <c r="X66" s="293">
        <f t="shared" si="142"/>
        <v>891.75799800000027</v>
      </c>
      <c r="Y66" s="293">
        <f t="shared" si="142"/>
        <v>286.97814000000011</v>
      </c>
      <c r="Z66" s="293">
        <f t="shared" si="142"/>
        <v>1207.1682315000003</v>
      </c>
      <c r="AA66" s="293">
        <f t="shared" si="142"/>
        <v>951.75768690000029</v>
      </c>
      <c r="AB66" s="293">
        <f t="shared" si="142"/>
        <v>986.48204184000031</v>
      </c>
      <c r="AC66" s="293">
        <f t="shared" si="142"/>
        <v>1024.6788322740003</v>
      </c>
      <c r="AD66" s="293">
        <f t="shared" si="142"/>
        <v>920.54902675140045</v>
      </c>
      <c r="AE66" s="293">
        <f t="shared" si="142"/>
        <v>966.76714317654034</v>
      </c>
      <c r="AF66" s="293">
        <f t="shared" si="142"/>
        <v>1017.6070712441947</v>
      </c>
      <c r="AG66" s="293">
        <f t="shared" si="142"/>
        <v>1073.530992118614</v>
      </c>
      <c r="AH66" s="293">
        <f t="shared" si="142"/>
        <v>1005.5085613304755</v>
      </c>
      <c r="AI66" s="293">
        <f t="shared" si="142"/>
        <v>1073.176505588523</v>
      </c>
      <c r="AJ66" s="293">
        <f t="shared" si="142"/>
        <v>1147.6112442723754</v>
      </c>
      <c r="AK66" s="293">
        <f t="shared" si="142"/>
        <v>1229.4894568246129</v>
      </c>
      <c r="AL66" s="293">
        <f t="shared" si="142"/>
        <v>1273.0544031320744</v>
      </c>
      <c r="AM66" s="293">
        <f t="shared" si="142"/>
        <v>1372.1270403202818</v>
      </c>
      <c r="AN66" s="293">
        <f t="shared" si="142"/>
        <v>1481.10694122731</v>
      </c>
      <c r="AO66" s="293">
        <f t="shared" si="142"/>
        <v>1600.9848322250411</v>
      </c>
      <c r="AP66" s="293">
        <f t="shared" si="142"/>
        <v>1716.242981072545</v>
      </c>
      <c r="AQ66" s="293">
        <f t="shared" si="142"/>
        <v>1861.2952291797997</v>
      </c>
      <c r="AR66" s="293">
        <f t="shared" si="142"/>
        <v>2020.8527020977801</v>
      </c>
      <c r="AS66" s="293">
        <f t="shared" si="142"/>
        <v>2196.3659223075579</v>
      </c>
    </row>
    <row r="67" spans="1:45" s="66" customFormat="1" hidden="1" outlineLevel="1" x14ac:dyDescent="0.3">
      <c r="A67" s="113" t="s">
        <v>149</v>
      </c>
      <c r="B67" s="113"/>
      <c r="C67" s="113"/>
      <c r="D67" s="113"/>
      <c r="E67" s="113"/>
      <c r="F67" s="113"/>
      <c r="G67" s="113"/>
      <c r="H67" s="113"/>
      <c r="I67" s="113"/>
      <c r="J67" s="113"/>
      <c r="K67" s="113"/>
      <c r="L67" s="113"/>
      <c r="M67" s="113"/>
      <c r="N67" s="113"/>
      <c r="O67" s="113"/>
      <c r="P67" s="113"/>
      <c r="Q67" s="113"/>
      <c r="R67" s="113"/>
      <c r="S67" s="113"/>
      <c r="T67" s="291"/>
      <c r="U67" s="291"/>
      <c r="V67" s="293">
        <f t="shared" ref="V67:AS67" si="143">V$64*(1-$B$41)^9</f>
        <v>603.60112186200024</v>
      </c>
      <c r="W67" s="293">
        <f t="shared" si="143"/>
        <v>454.44423359700016</v>
      </c>
      <c r="X67" s="293">
        <f t="shared" si="143"/>
        <v>650.0915805420002</v>
      </c>
      <c r="Y67" s="293">
        <f t="shared" si="143"/>
        <v>209.20706406000008</v>
      </c>
      <c r="Z67" s="293">
        <f t="shared" si="143"/>
        <v>880.02564076350029</v>
      </c>
      <c r="AA67" s="293">
        <f t="shared" si="143"/>
        <v>693.83135375010033</v>
      </c>
      <c r="AB67" s="293">
        <f t="shared" si="143"/>
        <v>719.14540850136029</v>
      </c>
      <c r="AC67" s="293">
        <f t="shared" si="143"/>
        <v>746.99086872774626</v>
      </c>
      <c r="AD67" s="293">
        <f t="shared" si="143"/>
        <v>671.08024050177096</v>
      </c>
      <c r="AE67" s="293">
        <f t="shared" si="143"/>
        <v>704.77324737569802</v>
      </c>
      <c r="AF67" s="293">
        <f t="shared" si="143"/>
        <v>741.83555493701806</v>
      </c>
      <c r="AG67" s="293">
        <f t="shared" si="143"/>
        <v>782.60409325446972</v>
      </c>
      <c r="AH67" s="293">
        <f t="shared" si="143"/>
        <v>733.01574120991665</v>
      </c>
      <c r="AI67" s="293">
        <f t="shared" si="143"/>
        <v>782.3456725740333</v>
      </c>
      <c r="AJ67" s="293">
        <f t="shared" si="143"/>
        <v>836.60859707456177</v>
      </c>
      <c r="AK67" s="293">
        <f t="shared" si="143"/>
        <v>896.297814025143</v>
      </c>
      <c r="AL67" s="293">
        <f t="shared" si="143"/>
        <v>928.05665988328224</v>
      </c>
      <c r="AM67" s="293">
        <f t="shared" si="143"/>
        <v>1000.2806123934855</v>
      </c>
      <c r="AN67" s="293">
        <f t="shared" si="143"/>
        <v>1079.7269601547091</v>
      </c>
      <c r="AO67" s="293">
        <f t="shared" si="143"/>
        <v>1167.1179426920551</v>
      </c>
      <c r="AP67" s="293">
        <f t="shared" si="143"/>
        <v>1251.1411332018854</v>
      </c>
      <c r="AQ67" s="293">
        <f t="shared" si="143"/>
        <v>1356.8842220720742</v>
      </c>
      <c r="AR67" s="293">
        <f t="shared" si="143"/>
        <v>1473.201619829282</v>
      </c>
      <c r="AS67" s="293">
        <f t="shared" si="143"/>
        <v>1601.15075736221</v>
      </c>
    </row>
    <row r="68" spans="1:45" s="66" customFormat="1" hidden="1" outlineLevel="1" x14ac:dyDescent="0.3">
      <c r="A68" s="113" t="s">
        <v>150</v>
      </c>
      <c r="B68" s="113"/>
      <c r="C68" s="113"/>
      <c r="D68" s="113"/>
      <c r="E68" s="113"/>
      <c r="F68" s="113"/>
      <c r="G68" s="113"/>
      <c r="H68" s="113"/>
      <c r="I68" s="113"/>
      <c r="J68" s="113"/>
      <c r="K68" s="113"/>
      <c r="L68" s="113"/>
      <c r="M68" s="113"/>
      <c r="N68" s="113"/>
      <c r="O68" s="113"/>
      <c r="P68" s="113"/>
      <c r="Q68" s="113"/>
      <c r="R68" s="113"/>
      <c r="S68" s="113"/>
      <c r="T68" s="291"/>
      <c r="U68" s="291"/>
      <c r="V68" s="293">
        <f t="shared" ref="V68:AS68" si="144">V$64*(1-$B$41)^12</f>
        <v>440.02521783739826</v>
      </c>
      <c r="W68" s="293">
        <f t="shared" si="144"/>
        <v>331.28984629221321</v>
      </c>
      <c r="X68" s="293">
        <f t="shared" si="144"/>
        <v>473.9167622151183</v>
      </c>
      <c r="Y68" s="293">
        <f t="shared" si="144"/>
        <v>152.51194969974009</v>
      </c>
      <c r="Z68" s="293">
        <f t="shared" si="144"/>
        <v>641.53869211659185</v>
      </c>
      <c r="AA68" s="293">
        <f t="shared" si="144"/>
        <v>505.80305688382322</v>
      </c>
      <c r="AB68" s="293">
        <f t="shared" si="144"/>
        <v>524.25700279749174</v>
      </c>
      <c r="AC68" s="293">
        <f t="shared" si="144"/>
        <v>544.55634330252713</v>
      </c>
      <c r="AD68" s="293">
        <f t="shared" si="144"/>
        <v>489.21749532579116</v>
      </c>
      <c r="AE68" s="293">
        <f t="shared" si="144"/>
        <v>513.77969733688394</v>
      </c>
      <c r="AF68" s="293">
        <f t="shared" si="144"/>
        <v>540.79811954908621</v>
      </c>
      <c r="AG68" s="293">
        <f t="shared" si="144"/>
        <v>570.51838398250857</v>
      </c>
      <c r="AH68" s="293">
        <f t="shared" si="144"/>
        <v>534.36847534202934</v>
      </c>
      <c r="AI68" s="293">
        <f t="shared" si="144"/>
        <v>570.32999530647044</v>
      </c>
      <c r="AJ68" s="293">
        <f t="shared" si="144"/>
        <v>609.88766726735571</v>
      </c>
      <c r="AK68" s="293">
        <f t="shared" si="144"/>
        <v>653.40110642432933</v>
      </c>
      <c r="AL68" s="293">
        <f t="shared" si="144"/>
        <v>676.55330505491293</v>
      </c>
      <c r="AM68" s="293">
        <f t="shared" si="144"/>
        <v>729.20456643485113</v>
      </c>
      <c r="AN68" s="293">
        <f t="shared" si="144"/>
        <v>787.12095395278311</v>
      </c>
      <c r="AO68" s="293">
        <f t="shared" si="144"/>
        <v>850.82898022250833</v>
      </c>
      <c r="AP68" s="293">
        <f t="shared" si="144"/>
        <v>912.08188610417471</v>
      </c>
      <c r="AQ68" s="293">
        <f t="shared" si="144"/>
        <v>989.16859789054229</v>
      </c>
      <c r="AR68" s="293">
        <f t="shared" si="144"/>
        <v>1073.9639808555467</v>
      </c>
      <c r="AS68" s="293">
        <f t="shared" si="144"/>
        <v>1167.2389021170513</v>
      </c>
    </row>
    <row r="69" spans="1:45" s="66" customFormat="1" hidden="1" outlineLevel="1" x14ac:dyDescent="0.3">
      <c r="A69" s="113" t="s">
        <v>151</v>
      </c>
      <c r="B69" s="113"/>
      <c r="C69" s="113"/>
      <c r="D69" s="113"/>
      <c r="E69" s="113"/>
      <c r="F69" s="113"/>
      <c r="G69" s="113"/>
      <c r="H69" s="113"/>
      <c r="I69" s="113"/>
      <c r="J69" s="113"/>
      <c r="K69" s="113"/>
      <c r="L69" s="113"/>
      <c r="M69" s="113"/>
      <c r="N69" s="113"/>
      <c r="O69" s="113"/>
      <c r="P69" s="113"/>
      <c r="Q69" s="113"/>
      <c r="R69" s="113"/>
      <c r="S69" s="113"/>
      <c r="T69" s="291"/>
      <c r="U69" s="291"/>
      <c r="V69" s="293">
        <f t="shared" ref="V69:AS69" si="145">V$64*(1-$B$41)^15</f>
        <v>320.77838380346333</v>
      </c>
      <c r="W69" s="293">
        <f t="shared" si="145"/>
        <v>241.51029794702342</v>
      </c>
      <c r="X69" s="293">
        <f t="shared" si="145"/>
        <v>345.48531965482124</v>
      </c>
      <c r="Y69" s="293">
        <f t="shared" si="145"/>
        <v>111.18121133111053</v>
      </c>
      <c r="Z69" s="293">
        <f t="shared" si="145"/>
        <v>467.68170655299548</v>
      </c>
      <c r="AA69" s="293">
        <f t="shared" si="145"/>
        <v>368.73042846830714</v>
      </c>
      <c r="AB69" s="293">
        <f t="shared" si="145"/>
        <v>382.18335503937152</v>
      </c>
      <c r="AC69" s="293">
        <f t="shared" si="145"/>
        <v>396.98157426754233</v>
      </c>
      <c r="AD69" s="293">
        <f t="shared" si="145"/>
        <v>356.63955409250173</v>
      </c>
      <c r="AE69" s="293">
        <f t="shared" si="145"/>
        <v>374.54539935858838</v>
      </c>
      <c r="AF69" s="293">
        <f t="shared" si="145"/>
        <v>394.24182915128387</v>
      </c>
      <c r="AG69" s="293">
        <f t="shared" si="145"/>
        <v>415.90790192324874</v>
      </c>
      <c r="AH69" s="293">
        <f t="shared" si="145"/>
        <v>389.55461852433939</v>
      </c>
      <c r="AI69" s="293">
        <f t="shared" si="145"/>
        <v>415.77056657841695</v>
      </c>
      <c r="AJ69" s="293">
        <f t="shared" si="145"/>
        <v>444.60810943790233</v>
      </c>
      <c r="AK69" s="293">
        <f t="shared" si="145"/>
        <v>476.32940658333609</v>
      </c>
      <c r="AL69" s="293">
        <f t="shared" si="145"/>
        <v>493.20735938503151</v>
      </c>
      <c r="AM69" s="293">
        <f t="shared" si="145"/>
        <v>531.59012893100646</v>
      </c>
      <c r="AN69" s="293">
        <f t="shared" si="145"/>
        <v>573.81117543157893</v>
      </c>
      <c r="AO69" s="293">
        <f t="shared" si="145"/>
        <v>620.25432658220859</v>
      </c>
      <c r="AP69" s="293">
        <f t="shared" si="145"/>
        <v>664.90769496994335</v>
      </c>
      <c r="AQ69" s="293">
        <f t="shared" si="145"/>
        <v>721.10390786220535</v>
      </c>
      <c r="AR69" s="293">
        <f t="shared" si="145"/>
        <v>782.91974204369353</v>
      </c>
      <c r="AS69" s="293">
        <f t="shared" si="145"/>
        <v>850.91715964333036</v>
      </c>
    </row>
    <row r="70" spans="1:45" s="66" customFormat="1" hidden="1" outlineLevel="1" x14ac:dyDescent="0.3">
      <c r="A70" s="113" t="s">
        <v>152</v>
      </c>
      <c r="B70" s="113"/>
      <c r="C70" s="113"/>
      <c r="D70" s="113"/>
      <c r="E70" s="113"/>
      <c r="F70" s="113"/>
      <c r="G70" s="113"/>
      <c r="H70" s="113"/>
      <c r="I70" s="113"/>
      <c r="J70" s="113"/>
      <c r="K70" s="113"/>
      <c r="L70" s="113"/>
      <c r="M70" s="113"/>
      <c r="N70" s="113"/>
      <c r="O70" s="113"/>
      <c r="P70" s="113"/>
      <c r="Q70" s="113"/>
      <c r="R70" s="113"/>
      <c r="S70" s="113"/>
      <c r="T70" s="291"/>
      <c r="U70" s="291"/>
      <c r="V70" s="293">
        <f t="shared" ref="V70:AS70" si="146">V$64*(1-$B$41)^18</f>
        <v>233.84744179272479</v>
      </c>
      <c r="W70" s="293">
        <f t="shared" si="146"/>
        <v>176.06100720338011</v>
      </c>
      <c r="X70" s="293">
        <f t="shared" si="146"/>
        <v>251.8587980283647</v>
      </c>
      <c r="Y70" s="293">
        <f t="shared" si="146"/>
        <v>81.051103060379589</v>
      </c>
      <c r="Z70" s="293">
        <f t="shared" si="146"/>
        <v>340.93996407713377</v>
      </c>
      <c r="AA70" s="293">
        <f t="shared" si="146"/>
        <v>268.80448235339594</v>
      </c>
      <c r="AB70" s="293">
        <f t="shared" si="146"/>
        <v>278.61166582370186</v>
      </c>
      <c r="AC70" s="293">
        <f t="shared" si="146"/>
        <v>289.3995676410384</v>
      </c>
      <c r="AD70" s="293">
        <f t="shared" si="146"/>
        <v>259.99023493343384</v>
      </c>
      <c r="AE70" s="293">
        <f t="shared" si="146"/>
        <v>273.04359613241098</v>
      </c>
      <c r="AF70" s="293">
        <f t="shared" si="146"/>
        <v>287.40229345128597</v>
      </c>
      <c r="AG70" s="293">
        <f t="shared" si="146"/>
        <v>303.19686050204837</v>
      </c>
      <c r="AH70" s="293">
        <f t="shared" si="146"/>
        <v>283.98531690424346</v>
      </c>
      <c r="AI70" s="293">
        <f t="shared" si="146"/>
        <v>303.09674303566601</v>
      </c>
      <c r="AJ70" s="293">
        <f t="shared" si="146"/>
        <v>324.11931178023082</v>
      </c>
      <c r="AK70" s="293">
        <f t="shared" si="146"/>
        <v>347.24413739925205</v>
      </c>
      <c r="AL70" s="293">
        <f t="shared" si="146"/>
        <v>359.548164991688</v>
      </c>
      <c r="AM70" s="293">
        <f t="shared" si="146"/>
        <v>387.52920399070376</v>
      </c>
      <c r="AN70" s="293">
        <f t="shared" si="146"/>
        <v>418.30834688962108</v>
      </c>
      <c r="AO70" s="293">
        <f t="shared" si="146"/>
        <v>452.16540407843013</v>
      </c>
      <c r="AP70" s="293">
        <f t="shared" si="146"/>
        <v>484.71770963308882</v>
      </c>
      <c r="AQ70" s="293">
        <f t="shared" si="146"/>
        <v>525.68474883154772</v>
      </c>
      <c r="AR70" s="293">
        <f t="shared" si="146"/>
        <v>570.74849194985268</v>
      </c>
      <c r="AS70" s="293">
        <f t="shared" si="146"/>
        <v>620.31860937998795</v>
      </c>
    </row>
    <row r="71" spans="1:45" s="66" customFormat="1" hidden="1" outlineLevel="1" x14ac:dyDescent="0.3">
      <c r="A71" s="113" t="s">
        <v>153</v>
      </c>
      <c r="B71" s="113"/>
      <c r="C71" s="113"/>
      <c r="D71" s="113"/>
      <c r="E71" s="113"/>
      <c r="F71" s="113"/>
      <c r="G71" s="113"/>
      <c r="H71" s="113"/>
      <c r="I71" s="113"/>
      <c r="J71" s="113"/>
      <c r="K71" s="113"/>
      <c r="L71" s="113"/>
      <c r="M71" s="113"/>
      <c r="N71" s="113"/>
      <c r="O71" s="113"/>
      <c r="P71" s="113"/>
      <c r="Q71" s="113"/>
      <c r="R71" s="113"/>
      <c r="S71" s="113"/>
      <c r="T71" s="291"/>
      <c r="U71" s="291"/>
      <c r="V71" s="293">
        <f t="shared" ref="V71:AS71" si="147">V$64*(1-$B$41)^21</f>
        <v>170.47478506689643</v>
      </c>
      <c r="W71" s="293">
        <f t="shared" si="147"/>
        <v>128.34847425126412</v>
      </c>
      <c r="X71" s="293">
        <f t="shared" si="147"/>
        <v>183.60506376267793</v>
      </c>
      <c r="Y71" s="293">
        <f t="shared" si="147"/>
        <v>59.086254131016737</v>
      </c>
      <c r="Z71" s="293">
        <f t="shared" si="147"/>
        <v>248.54523381223058</v>
      </c>
      <c r="AA71" s="293">
        <f t="shared" si="147"/>
        <v>195.95846763562571</v>
      </c>
      <c r="AB71" s="293">
        <f t="shared" si="147"/>
        <v>203.10790438547872</v>
      </c>
      <c r="AC71" s="293">
        <f t="shared" si="147"/>
        <v>210.97228481031706</v>
      </c>
      <c r="AD71" s="293">
        <f t="shared" si="147"/>
        <v>189.53288126647331</v>
      </c>
      <c r="AE71" s="293">
        <f t="shared" si="147"/>
        <v>199.04878158052767</v>
      </c>
      <c r="AF71" s="293">
        <f t="shared" si="147"/>
        <v>209.51627192598755</v>
      </c>
      <c r="AG71" s="293">
        <f t="shared" si="147"/>
        <v>221.03051130599331</v>
      </c>
      <c r="AH71" s="293">
        <f t="shared" si="147"/>
        <v>207.02529602319356</v>
      </c>
      <c r="AI71" s="293">
        <f t="shared" si="147"/>
        <v>220.95752567300059</v>
      </c>
      <c r="AJ71" s="293">
        <f t="shared" si="147"/>
        <v>236.28297828778835</v>
      </c>
      <c r="AK71" s="293">
        <f t="shared" si="147"/>
        <v>253.14097616405485</v>
      </c>
      <c r="AL71" s="293">
        <f t="shared" si="147"/>
        <v>262.11061227894066</v>
      </c>
      <c r="AM71" s="293">
        <f t="shared" si="147"/>
        <v>282.50878970922315</v>
      </c>
      <c r="AN71" s="293">
        <f t="shared" si="147"/>
        <v>304.94678488253385</v>
      </c>
      <c r="AO71" s="293">
        <f t="shared" si="147"/>
        <v>329.62857957317567</v>
      </c>
      <c r="AP71" s="293">
        <f t="shared" si="147"/>
        <v>353.35921032252185</v>
      </c>
      <c r="AQ71" s="293">
        <f t="shared" si="147"/>
        <v>383.22418189819842</v>
      </c>
      <c r="AR71" s="293">
        <f t="shared" si="147"/>
        <v>416.07565063144273</v>
      </c>
      <c r="AS71" s="293">
        <f t="shared" si="147"/>
        <v>452.21226623801135</v>
      </c>
    </row>
    <row r="72" spans="1:45" s="66" customFormat="1" hidden="1" outlineLevel="1" x14ac:dyDescent="0.3">
      <c r="A72" s="113" t="s">
        <v>154</v>
      </c>
      <c r="B72" s="113"/>
      <c r="C72" s="113"/>
      <c r="D72" s="113"/>
      <c r="E72" s="113"/>
      <c r="F72" s="113"/>
      <c r="G72" s="113"/>
      <c r="H72" s="113"/>
      <c r="I72" s="113"/>
      <c r="J72" s="113"/>
      <c r="K72" s="113"/>
      <c r="L72" s="113"/>
      <c r="M72" s="113"/>
      <c r="N72" s="113"/>
      <c r="O72" s="113"/>
      <c r="P72" s="113"/>
      <c r="Q72" s="113"/>
      <c r="R72" s="113"/>
      <c r="S72" s="113"/>
      <c r="T72" s="291"/>
      <c r="U72" s="291"/>
      <c r="V72" s="293">
        <f t="shared" ref="V72:AS72" si="148">V$64*(1-$B$41)^24</f>
        <v>124.27611831376751</v>
      </c>
      <c r="W72" s="293">
        <f t="shared" si="148"/>
        <v>93.566037729171555</v>
      </c>
      <c r="X72" s="293">
        <f t="shared" si="148"/>
        <v>133.84809148299223</v>
      </c>
      <c r="Y72" s="293">
        <f t="shared" si="148"/>
        <v>43.073879261511202</v>
      </c>
      <c r="Z72" s="293">
        <f t="shared" si="148"/>
        <v>181.18947544911612</v>
      </c>
      <c r="AA72" s="293">
        <f t="shared" si="148"/>
        <v>142.85372290637113</v>
      </c>
      <c r="AB72" s="293">
        <f t="shared" si="148"/>
        <v>148.065662297014</v>
      </c>
      <c r="AC72" s="293">
        <f t="shared" si="148"/>
        <v>153.79879562672113</v>
      </c>
      <c r="AD72" s="293">
        <f t="shared" si="148"/>
        <v>138.16947044325906</v>
      </c>
      <c r="AE72" s="293">
        <f t="shared" si="148"/>
        <v>145.10656177220469</v>
      </c>
      <c r="AF72" s="293">
        <f t="shared" si="148"/>
        <v>152.73736223404492</v>
      </c>
      <c r="AG72" s="293">
        <f t="shared" si="148"/>
        <v>161.13124274206913</v>
      </c>
      <c r="AH72" s="293">
        <f t="shared" si="148"/>
        <v>150.9214408009081</v>
      </c>
      <c r="AI72" s="293">
        <f t="shared" si="148"/>
        <v>161.07803621561743</v>
      </c>
      <c r="AJ72" s="293">
        <f t="shared" si="148"/>
        <v>172.25029117179773</v>
      </c>
      <c r="AK72" s="293">
        <f t="shared" si="148"/>
        <v>184.53977162359598</v>
      </c>
      <c r="AL72" s="293">
        <f t="shared" si="148"/>
        <v>191.07863635134774</v>
      </c>
      <c r="AM72" s="293">
        <f t="shared" si="148"/>
        <v>205.94890769802367</v>
      </c>
      <c r="AN72" s="293">
        <f t="shared" si="148"/>
        <v>222.30620617936719</v>
      </c>
      <c r="AO72" s="293">
        <f t="shared" si="148"/>
        <v>240.29923450884507</v>
      </c>
      <c r="AP72" s="293">
        <f t="shared" si="148"/>
        <v>257.59886432511843</v>
      </c>
      <c r="AQ72" s="293">
        <f t="shared" si="148"/>
        <v>279.37042860378665</v>
      </c>
      <c r="AR72" s="293">
        <f t="shared" si="148"/>
        <v>303.31914931032179</v>
      </c>
      <c r="AS72" s="293">
        <f t="shared" si="148"/>
        <v>329.66274208751031</v>
      </c>
    </row>
    <row r="73" spans="1:45" s="66" customFormat="1" hidden="1" outlineLevel="1" x14ac:dyDescent="0.3">
      <c r="A73" s="113" t="s">
        <v>155</v>
      </c>
      <c r="B73" s="113"/>
      <c r="C73" s="113"/>
      <c r="D73" s="113"/>
      <c r="E73" s="113"/>
      <c r="F73" s="113"/>
      <c r="G73" s="113"/>
      <c r="H73" s="113"/>
      <c r="I73" s="113"/>
      <c r="J73" s="113"/>
      <c r="K73" s="113"/>
      <c r="L73" s="113"/>
      <c r="M73" s="113"/>
      <c r="N73" s="113"/>
      <c r="O73" s="113"/>
      <c r="P73" s="113"/>
      <c r="Q73" s="113"/>
      <c r="R73" s="113"/>
      <c r="S73" s="113"/>
      <c r="T73" s="291"/>
      <c r="U73" s="291"/>
      <c r="V73" s="293">
        <f t="shared" ref="V73:AS73" si="149">V$64*(1-$B$41)^27</f>
        <v>90.597290250736535</v>
      </c>
      <c r="W73" s="293">
        <f t="shared" si="149"/>
        <v>68.209641504566079</v>
      </c>
      <c r="X73" s="293">
        <f t="shared" si="149"/>
        <v>97.575258691101354</v>
      </c>
      <c r="Y73" s="293">
        <f t="shared" si="149"/>
        <v>31.400857981641675</v>
      </c>
      <c r="Z73" s="293">
        <f t="shared" si="149"/>
        <v>132.08712760240567</v>
      </c>
      <c r="AA73" s="293">
        <f t="shared" si="149"/>
        <v>104.14036399874459</v>
      </c>
      <c r="AB73" s="293">
        <f t="shared" si="149"/>
        <v>107.93986781452323</v>
      </c>
      <c r="AC73" s="293">
        <f t="shared" si="149"/>
        <v>112.11932201187973</v>
      </c>
      <c r="AD73" s="293">
        <f t="shared" si="149"/>
        <v>100.72554395313587</v>
      </c>
      <c r="AE73" s="293">
        <f t="shared" si="149"/>
        <v>105.78268353193724</v>
      </c>
      <c r="AF73" s="293">
        <f t="shared" si="149"/>
        <v>111.34553706861878</v>
      </c>
      <c r="AG73" s="293">
        <f t="shared" si="149"/>
        <v>117.46467595896843</v>
      </c>
      <c r="AH73" s="293">
        <f t="shared" si="149"/>
        <v>110.02173034386203</v>
      </c>
      <c r="AI73" s="293">
        <f t="shared" si="149"/>
        <v>117.42588840118513</v>
      </c>
      <c r="AJ73" s="293">
        <f t="shared" si="149"/>
        <v>125.57046226424056</v>
      </c>
      <c r="AK73" s="293">
        <f t="shared" si="149"/>
        <v>134.52949351360149</v>
      </c>
      <c r="AL73" s="293">
        <f t="shared" si="149"/>
        <v>139.29632590013253</v>
      </c>
      <c r="AM73" s="293">
        <f t="shared" si="149"/>
        <v>150.13675371185928</v>
      </c>
      <c r="AN73" s="293">
        <f t="shared" si="149"/>
        <v>162.06122430475872</v>
      </c>
      <c r="AO73" s="293">
        <f t="shared" si="149"/>
        <v>175.17814195694811</v>
      </c>
      <c r="AP73" s="293">
        <f t="shared" si="149"/>
        <v>187.78957209301137</v>
      </c>
      <c r="AQ73" s="293">
        <f t="shared" si="149"/>
        <v>203.66104245216053</v>
      </c>
      <c r="AR73" s="293">
        <f t="shared" si="149"/>
        <v>221.11965984722463</v>
      </c>
      <c r="AS73" s="293">
        <f t="shared" si="149"/>
        <v>240.32413898179507</v>
      </c>
    </row>
    <row r="74" spans="1:45" s="66" customFormat="1" hidden="1" outlineLevel="1" x14ac:dyDescent="0.3">
      <c r="A74" s="113" t="s">
        <v>156</v>
      </c>
      <c r="B74" s="113"/>
      <c r="C74" s="113"/>
      <c r="D74" s="113"/>
      <c r="E74" s="113"/>
      <c r="F74" s="113"/>
      <c r="G74" s="113"/>
      <c r="H74" s="113"/>
      <c r="I74" s="113"/>
      <c r="J74" s="113"/>
      <c r="K74" s="113"/>
      <c r="L74" s="113"/>
      <c r="M74" s="113"/>
      <c r="N74" s="113"/>
      <c r="O74" s="113"/>
      <c r="P74" s="113"/>
      <c r="Q74" s="113"/>
      <c r="R74" s="113"/>
      <c r="S74" s="113"/>
      <c r="T74" s="291"/>
      <c r="U74" s="291"/>
      <c r="V74" s="293">
        <f t="shared" ref="V74:AS74" si="150">V$64*(1-$B$41)^30</f>
        <v>66.045424592786944</v>
      </c>
      <c r="W74" s="293">
        <f t="shared" si="150"/>
        <v>49.724828656828677</v>
      </c>
      <c r="X74" s="293">
        <f t="shared" si="150"/>
        <v>71.132363585812897</v>
      </c>
      <c r="Y74" s="293">
        <f t="shared" si="150"/>
        <v>22.891225468616781</v>
      </c>
      <c r="Z74" s="293">
        <f t="shared" si="150"/>
        <v>96.291516022153743</v>
      </c>
      <c r="AA74" s="293">
        <f t="shared" si="150"/>
        <v>75.918325355084818</v>
      </c>
      <c r="AB74" s="293">
        <f t="shared" si="150"/>
        <v>78.688163636787436</v>
      </c>
      <c r="AC74" s="293">
        <f t="shared" si="150"/>
        <v>81.734985746660328</v>
      </c>
      <c r="AD74" s="293">
        <f t="shared" si="150"/>
        <v>73.428921541836061</v>
      </c>
      <c r="AE74" s="293">
        <f t="shared" si="150"/>
        <v>77.115576294782258</v>
      </c>
      <c r="AF74" s="293">
        <f t="shared" si="150"/>
        <v>81.170896523023103</v>
      </c>
      <c r="AG74" s="293">
        <f t="shared" si="150"/>
        <v>85.631748774087995</v>
      </c>
      <c r="AH74" s="293">
        <f t="shared" si="150"/>
        <v>80.205841420675426</v>
      </c>
      <c r="AI74" s="293">
        <f t="shared" si="150"/>
        <v>85.603472644463977</v>
      </c>
      <c r="AJ74" s="293">
        <f t="shared" si="150"/>
        <v>91.540866990631386</v>
      </c>
      <c r="AK74" s="293">
        <f t="shared" si="150"/>
        <v>98.072000771415503</v>
      </c>
      <c r="AL74" s="293">
        <f t="shared" si="150"/>
        <v>101.54702158119663</v>
      </c>
      <c r="AM74" s="293">
        <f t="shared" si="150"/>
        <v>109.44969345594544</v>
      </c>
      <c r="AN74" s="293">
        <f t="shared" si="150"/>
        <v>118.14263251816912</v>
      </c>
      <c r="AO74" s="293">
        <f t="shared" si="150"/>
        <v>127.70486548661518</v>
      </c>
      <c r="AP74" s="293">
        <f t="shared" si="150"/>
        <v>136.89859805580531</v>
      </c>
      <c r="AQ74" s="293">
        <f t="shared" si="150"/>
        <v>148.46889994762503</v>
      </c>
      <c r="AR74" s="293">
        <f t="shared" si="150"/>
        <v>161.19623202862678</v>
      </c>
      <c r="AS74" s="293">
        <f t="shared" si="150"/>
        <v>175.19629731772861</v>
      </c>
    </row>
    <row r="75" spans="1:45" s="66" customFormat="1" hidden="1" outlineLevel="1" x14ac:dyDescent="0.3">
      <c r="A75" s="113" t="s">
        <v>157</v>
      </c>
      <c r="B75" s="113"/>
      <c r="C75" s="113"/>
      <c r="D75" s="113"/>
      <c r="E75" s="113"/>
      <c r="F75" s="113"/>
      <c r="G75" s="113"/>
      <c r="H75" s="113"/>
      <c r="I75" s="113"/>
      <c r="J75" s="113"/>
      <c r="K75" s="113"/>
      <c r="L75" s="113"/>
      <c r="M75" s="113"/>
      <c r="N75" s="113"/>
      <c r="O75" s="113"/>
      <c r="P75" s="113"/>
      <c r="Q75" s="113"/>
      <c r="R75" s="113"/>
      <c r="S75" s="113"/>
      <c r="T75" s="291"/>
      <c r="U75" s="291"/>
      <c r="V75" s="293">
        <f t="shared" ref="V75:AS75" si="151">V$64*(1-$B$41)^33</f>
        <v>48.147114528141685</v>
      </c>
      <c r="W75" s="293">
        <f t="shared" si="151"/>
        <v>36.249400090828111</v>
      </c>
      <c r="X75" s="293">
        <f t="shared" si="151"/>
        <v>51.855493054057604</v>
      </c>
      <c r="Y75" s="293">
        <f t="shared" si="151"/>
        <v>16.687703366621637</v>
      </c>
      <c r="Z75" s="293">
        <f t="shared" si="151"/>
        <v>70.196515180150087</v>
      </c>
      <c r="AA75" s="293">
        <f t="shared" si="151"/>
        <v>55.344459183856834</v>
      </c>
      <c r="AB75" s="293">
        <f t="shared" si="151"/>
        <v>57.363671291218047</v>
      </c>
      <c r="AC75" s="293">
        <f t="shared" si="151"/>
        <v>59.584804609315391</v>
      </c>
      <c r="AD75" s="293">
        <f t="shared" si="151"/>
        <v>53.529683803998488</v>
      </c>
      <c r="AE75" s="293">
        <f t="shared" si="151"/>
        <v>56.217255118896269</v>
      </c>
      <c r="AF75" s="293">
        <f t="shared" si="151"/>
        <v>59.173583565283849</v>
      </c>
      <c r="AG75" s="293">
        <f t="shared" si="151"/>
        <v>62.425544856310154</v>
      </c>
      <c r="AH75" s="293">
        <f t="shared" si="151"/>
        <v>58.470058395672396</v>
      </c>
      <c r="AI75" s="293">
        <f t="shared" si="151"/>
        <v>62.404931557814244</v>
      </c>
      <c r="AJ75" s="293">
        <f t="shared" si="151"/>
        <v>66.733292036170283</v>
      </c>
      <c r="AK75" s="293">
        <f t="shared" si="151"/>
        <v>71.494488562361909</v>
      </c>
      <c r="AL75" s="293">
        <f t="shared" si="151"/>
        <v>74.027778732692354</v>
      </c>
      <c r="AM75" s="293">
        <f t="shared" si="151"/>
        <v>79.788826529384238</v>
      </c>
      <c r="AN75" s="293">
        <f t="shared" si="151"/>
        <v>86.125979105745301</v>
      </c>
      <c r="AO75" s="293">
        <f t="shared" si="151"/>
        <v>93.096846939742477</v>
      </c>
      <c r="AP75" s="293">
        <f t="shared" si="151"/>
        <v>99.799077982682078</v>
      </c>
      <c r="AQ75" s="293">
        <f t="shared" si="151"/>
        <v>108.23382806181867</v>
      </c>
      <c r="AR75" s="293">
        <f t="shared" si="151"/>
        <v>117.51205314886893</v>
      </c>
      <c r="AS75" s="293">
        <f t="shared" si="151"/>
        <v>127.71810074462418</v>
      </c>
    </row>
    <row r="76" spans="1:45" s="66" customFormat="1" hidden="1" outlineLevel="1" x14ac:dyDescent="0.3">
      <c r="A76" s="113" t="s">
        <v>158</v>
      </c>
      <c r="B76" s="113"/>
      <c r="C76" s="113"/>
      <c r="D76" s="113"/>
      <c r="E76" s="113"/>
      <c r="F76" s="113"/>
      <c r="G76" s="113"/>
      <c r="H76" s="113"/>
      <c r="I76" s="113"/>
      <c r="J76" s="113"/>
      <c r="K76" s="113"/>
      <c r="L76" s="113"/>
      <c r="M76" s="113"/>
      <c r="N76" s="113"/>
      <c r="O76" s="113"/>
      <c r="P76" s="113"/>
      <c r="Q76" s="113"/>
      <c r="R76" s="113"/>
      <c r="S76" s="113"/>
      <c r="T76" s="291"/>
      <c r="U76" s="291"/>
      <c r="V76" s="293">
        <f t="shared" ref="V76:AS76" si="152">V$64*(1-$B$41)^36</f>
        <v>35.099246491015293</v>
      </c>
      <c r="W76" s="293">
        <f t="shared" si="152"/>
        <v>26.425812666213698</v>
      </c>
      <c r="X76" s="293">
        <f t="shared" si="152"/>
        <v>37.802654436407998</v>
      </c>
      <c r="Y76" s="293">
        <f t="shared" si="152"/>
        <v>12.165335754267176</v>
      </c>
      <c r="Z76" s="293">
        <f t="shared" si="152"/>
        <v>51.173259566329421</v>
      </c>
      <c r="AA76" s="293">
        <f t="shared" si="152"/>
        <v>40.346110745031638</v>
      </c>
      <c r="AB76" s="293">
        <f t="shared" si="152"/>
        <v>41.818116371297961</v>
      </c>
      <c r="AC76" s="293">
        <f t="shared" si="152"/>
        <v>43.437322560190928</v>
      </c>
      <c r="AD76" s="293">
        <f t="shared" si="152"/>
        <v>39.023139493114904</v>
      </c>
      <c r="AE76" s="293">
        <f t="shared" si="152"/>
        <v>40.982378981675389</v>
      </c>
      <c r="AF76" s="293">
        <f t="shared" si="152"/>
        <v>43.137542419091929</v>
      </c>
      <c r="AG76" s="293">
        <f t="shared" si="152"/>
        <v>45.50822220025011</v>
      </c>
      <c r="AH76" s="293">
        <f t="shared" si="152"/>
        <v>42.624672570445185</v>
      </c>
      <c r="AI76" s="293">
        <f t="shared" si="152"/>
        <v>45.493195105646592</v>
      </c>
      <c r="AJ76" s="293">
        <f t="shared" si="152"/>
        <v>48.648569894368144</v>
      </c>
      <c r="AK76" s="293">
        <f t="shared" si="152"/>
        <v>52.119482161961841</v>
      </c>
      <c r="AL76" s="293">
        <f t="shared" si="152"/>
        <v>53.966250696132732</v>
      </c>
      <c r="AM76" s="293">
        <f t="shared" si="152"/>
        <v>58.166054539921113</v>
      </c>
      <c r="AN76" s="293">
        <f t="shared" si="152"/>
        <v>62.785838768088333</v>
      </c>
      <c r="AO76" s="293">
        <f t="shared" si="152"/>
        <v>67.867601419072273</v>
      </c>
      <c r="AP76" s="293">
        <f t="shared" si="152"/>
        <v>72.753527849375246</v>
      </c>
      <c r="AQ76" s="293">
        <f t="shared" si="152"/>
        <v>78.902460657065816</v>
      </c>
      <c r="AR76" s="293">
        <f t="shared" si="152"/>
        <v>85.666286745525454</v>
      </c>
      <c r="AS76" s="293">
        <f t="shared" si="152"/>
        <v>93.106495442831047</v>
      </c>
    </row>
    <row r="77" spans="1:45" s="66" customFormat="1" hidden="1" outlineLevel="1" x14ac:dyDescent="0.3">
      <c r="A77" s="113" t="s">
        <v>159</v>
      </c>
      <c r="B77" s="113"/>
      <c r="C77" s="113"/>
      <c r="D77" s="113"/>
      <c r="E77" s="113"/>
      <c r="F77" s="113"/>
      <c r="G77" s="113"/>
      <c r="H77" s="113"/>
      <c r="I77" s="113"/>
      <c r="J77" s="113"/>
      <c r="K77" s="113"/>
      <c r="L77" s="113"/>
      <c r="M77" s="113"/>
      <c r="N77" s="113"/>
      <c r="O77" s="113"/>
      <c r="P77" s="113"/>
      <c r="Q77" s="113"/>
      <c r="R77" s="113"/>
      <c r="S77" s="113"/>
      <c r="T77" s="291"/>
      <c r="U77" s="293"/>
      <c r="V77" s="293">
        <f t="shared" ref="V77:AS77" si="153">V$64*(1-$B$41)^39</f>
        <v>25.587350691950153</v>
      </c>
      <c r="W77" s="293">
        <f t="shared" si="153"/>
        <v>19.264417433669788</v>
      </c>
      <c r="X77" s="293">
        <f t="shared" si="153"/>
        <v>27.558135084141437</v>
      </c>
      <c r="Y77" s="293">
        <f t="shared" si="153"/>
        <v>8.8685297648607726</v>
      </c>
      <c r="Z77" s="293">
        <f t="shared" si="153"/>
        <v>37.305306223854153</v>
      </c>
      <c r="AA77" s="293">
        <f t="shared" si="153"/>
        <v>29.412314733128071</v>
      </c>
      <c r="AB77" s="293">
        <f t="shared" si="153"/>
        <v>30.485406834676223</v>
      </c>
      <c r="AC77" s="293">
        <f t="shared" si="153"/>
        <v>31.665808146379192</v>
      </c>
      <c r="AD77" s="293">
        <f t="shared" si="153"/>
        <v>28.447868690480771</v>
      </c>
      <c r="AE77" s="293">
        <f t="shared" si="153"/>
        <v>29.876154277641362</v>
      </c>
      <c r="AF77" s="293">
        <f t="shared" si="153"/>
        <v>31.447268423518022</v>
      </c>
      <c r="AG77" s="293">
        <f t="shared" si="153"/>
        <v>33.175493983982335</v>
      </c>
      <c r="AH77" s="293">
        <f t="shared" si="153"/>
        <v>31.073386303854544</v>
      </c>
      <c r="AI77" s="293">
        <f t="shared" si="153"/>
        <v>33.164539232016367</v>
      </c>
      <c r="AJ77" s="293">
        <f t="shared" si="153"/>
        <v>35.464807452994386</v>
      </c>
      <c r="AK77" s="293">
        <f t="shared" si="153"/>
        <v>37.995102496070189</v>
      </c>
      <c r="AL77" s="293">
        <f t="shared" si="153"/>
        <v>39.341396757480766</v>
      </c>
      <c r="AM77" s="293">
        <f t="shared" si="153"/>
        <v>42.4030537596025</v>
      </c>
      <c r="AN77" s="293">
        <f t="shared" si="153"/>
        <v>45.770876461936403</v>
      </c>
      <c r="AO77" s="293">
        <f t="shared" si="153"/>
        <v>49.475481434503692</v>
      </c>
      <c r="AP77" s="293">
        <f t="shared" si="153"/>
        <v>53.037321802194562</v>
      </c>
      <c r="AQ77" s="293">
        <f t="shared" si="153"/>
        <v>57.519893819000991</v>
      </c>
      <c r="AR77" s="293">
        <f t="shared" si="153"/>
        <v>62.450723037488068</v>
      </c>
      <c r="AS77" s="293">
        <f t="shared" si="153"/>
        <v>67.874635177823833</v>
      </c>
    </row>
    <row r="78" spans="1:45" s="66" customFormat="1" hidden="1" outlineLevel="1" x14ac:dyDescent="0.3">
      <c r="A78" s="113" t="s">
        <v>160</v>
      </c>
      <c r="B78" s="113"/>
      <c r="C78" s="113"/>
      <c r="D78" s="113"/>
      <c r="E78" s="113"/>
      <c r="F78" s="113"/>
      <c r="G78" s="113"/>
      <c r="H78" s="113"/>
      <c r="I78" s="113"/>
      <c r="J78" s="113"/>
      <c r="K78" s="113"/>
      <c r="L78" s="113"/>
      <c r="M78" s="113"/>
      <c r="N78" s="113"/>
      <c r="O78" s="113"/>
      <c r="P78" s="113"/>
      <c r="Q78" s="113"/>
      <c r="R78" s="113"/>
      <c r="S78" s="113"/>
      <c r="T78" s="291"/>
      <c r="U78" s="293"/>
      <c r="V78" s="293">
        <f t="shared" ref="V78:AS78" si="154">V$64*(1-$B$41)^42</f>
        <v>18.653178654431663</v>
      </c>
      <c r="W78" s="293">
        <f t="shared" si="154"/>
        <v>14.043760309145277</v>
      </c>
      <c r="X78" s="293">
        <f t="shared" si="154"/>
        <v>20.089880476339108</v>
      </c>
      <c r="Y78" s="293">
        <f t="shared" si="154"/>
        <v>6.4651581985835032</v>
      </c>
      <c r="Z78" s="293">
        <f t="shared" si="154"/>
        <v>27.195568237189683</v>
      </c>
      <c r="AA78" s="293">
        <f t="shared" si="154"/>
        <v>21.441577440450363</v>
      </c>
      <c r="AB78" s="293">
        <f t="shared" si="154"/>
        <v>22.223861582478968</v>
      </c>
      <c r="AC78" s="293">
        <f t="shared" si="154"/>
        <v>23.08437413871043</v>
      </c>
      <c r="AD78" s="293">
        <f t="shared" si="154"/>
        <v>20.738496275360482</v>
      </c>
      <c r="AE78" s="293">
        <f t="shared" si="154"/>
        <v>21.779716468400554</v>
      </c>
      <c r="AF78" s="293">
        <f t="shared" si="154"/>
        <v>22.925058680744641</v>
      </c>
      <c r="AG78" s="293">
        <f t="shared" si="154"/>
        <v>24.184935114323125</v>
      </c>
      <c r="AH78" s="293">
        <f t="shared" si="154"/>
        <v>22.652498615509966</v>
      </c>
      <c r="AI78" s="293">
        <f t="shared" si="154"/>
        <v>24.176949100139936</v>
      </c>
      <c r="AJ78" s="293">
        <f t="shared" si="154"/>
        <v>25.853844633232907</v>
      </c>
      <c r="AK78" s="293">
        <f t="shared" si="154"/>
        <v>27.698429719635172</v>
      </c>
      <c r="AL78" s="293">
        <f t="shared" si="154"/>
        <v>28.679878236203482</v>
      </c>
      <c r="AM78" s="293">
        <f t="shared" si="154"/>
        <v>30.911826190750222</v>
      </c>
      <c r="AN78" s="293">
        <f t="shared" si="154"/>
        <v>33.36696894075164</v>
      </c>
      <c r="AO78" s="293">
        <f t="shared" si="154"/>
        <v>36.067625965753194</v>
      </c>
      <c r="AP78" s="293">
        <f t="shared" si="154"/>
        <v>38.664207593799844</v>
      </c>
      <c r="AQ78" s="293">
        <f t="shared" si="154"/>
        <v>41.932002594051724</v>
      </c>
      <c r="AR78" s="293">
        <f t="shared" si="154"/>
        <v>45.526577094328808</v>
      </c>
      <c r="AS78" s="293">
        <f t="shared" si="154"/>
        <v>49.480609044633582</v>
      </c>
    </row>
    <row r="79" spans="1:45" s="66" customFormat="1" hidden="1" outlineLevel="1" x14ac:dyDescent="0.3">
      <c r="A79" s="113" t="s">
        <v>161</v>
      </c>
      <c r="B79" s="113"/>
      <c r="C79" s="113"/>
      <c r="D79" s="113"/>
      <c r="E79" s="113"/>
      <c r="F79" s="113"/>
      <c r="G79" s="113"/>
      <c r="H79" s="113"/>
      <c r="I79" s="113"/>
      <c r="J79" s="113"/>
      <c r="K79" s="113"/>
      <c r="L79" s="113"/>
      <c r="M79" s="113"/>
      <c r="N79" s="113"/>
      <c r="O79" s="113"/>
      <c r="P79" s="113"/>
      <c r="Q79" s="113"/>
      <c r="R79" s="113"/>
      <c r="S79" s="113"/>
      <c r="T79" s="291"/>
      <c r="U79" s="291"/>
      <c r="V79" s="293">
        <f t="shared" ref="V79:AS79" si="155">V$64*(1-$B$41)^45</f>
        <v>13.598167239080688</v>
      </c>
      <c r="W79" s="293">
        <f t="shared" si="155"/>
        <v>10.237901265366911</v>
      </c>
      <c r="X79" s="293">
        <f t="shared" si="155"/>
        <v>14.645522867251216</v>
      </c>
      <c r="Y79" s="293">
        <f t="shared" si="155"/>
        <v>4.7131003267673757</v>
      </c>
      <c r="Z79" s="293">
        <f t="shared" si="155"/>
        <v>19.825569244911286</v>
      </c>
      <c r="AA79" s="293">
        <f t="shared" si="155"/>
        <v>15.630909954088322</v>
      </c>
      <c r="AB79" s="293">
        <f t="shared" si="155"/>
        <v>16.201195093627174</v>
      </c>
      <c r="AC79" s="293">
        <f t="shared" si="155"/>
        <v>16.828508747119912</v>
      </c>
      <c r="AD79" s="293">
        <f t="shared" si="155"/>
        <v>15.118363784737799</v>
      </c>
      <c r="AE79" s="293">
        <f t="shared" si="155"/>
        <v>15.87741330546401</v>
      </c>
      <c r="AF79" s="293">
        <f t="shared" si="155"/>
        <v>16.712367778262848</v>
      </c>
      <c r="AG79" s="293">
        <f t="shared" si="155"/>
        <v>17.630817698341566</v>
      </c>
      <c r="AH79" s="293">
        <f t="shared" si="155"/>
        <v>16.51367149070677</v>
      </c>
      <c r="AI79" s="293">
        <f t="shared" si="155"/>
        <v>17.624995894002019</v>
      </c>
      <c r="AJ79" s="293">
        <f t="shared" si="155"/>
        <v>18.847452737626796</v>
      </c>
      <c r="AK79" s="293">
        <f t="shared" si="155"/>
        <v>20.192155265614048</v>
      </c>
      <c r="AL79" s="293">
        <f t="shared" si="155"/>
        <v>20.907631234192348</v>
      </c>
      <c r="AM79" s="293">
        <f t="shared" si="155"/>
        <v>22.534721293056922</v>
      </c>
      <c r="AN79" s="293">
        <f t="shared" si="155"/>
        <v>24.324520357807955</v>
      </c>
      <c r="AO79" s="293">
        <f t="shared" si="155"/>
        <v>26.293299329034092</v>
      </c>
      <c r="AP79" s="293">
        <f t="shared" si="155"/>
        <v>28.186207335880095</v>
      </c>
      <c r="AQ79" s="293">
        <f t="shared" si="155"/>
        <v>30.568429891063722</v>
      </c>
      <c r="AR79" s="293">
        <f t="shared" si="155"/>
        <v>33.188874701765712</v>
      </c>
      <c r="AS79" s="293">
        <f t="shared" si="155"/>
        <v>36.071363993537901</v>
      </c>
    </row>
    <row r="80" spans="1:45" s="66" customFormat="1" collapsed="1" x14ac:dyDescent="0.3">
      <c r="T80" s="69"/>
    </row>
    <row r="81" spans="1:76" s="66" customFormat="1" x14ac:dyDescent="0.3">
      <c r="T81" s="69"/>
    </row>
    <row r="82" spans="1:76" x14ac:dyDescent="0.3">
      <c r="A82" s="66"/>
      <c r="B82" s="66"/>
      <c r="C82" s="66"/>
      <c r="D82" s="66"/>
      <c r="E82" s="66"/>
      <c r="F82" s="66"/>
      <c r="G82" s="66"/>
      <c r="H82" s="66"/>
      <c r="I82" s="66"/>
      <c r="J82" s="66"/>
      <c r="K82" s="66"/>
      <c r="L82" s="66"/>
      <c r="AI82" s="66"/>
      <c r="AJ82" s="66"/>
      <c r="AK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row>
    <row r="83" spans="1:76" x14ac:dyDescent="0.3">
      <c r="A83" s="66"/>
      <c r="B83" s="66"/>
      <c r="C83" s="66"/>
      <c r="D83" s="66"/>
      <c r="E83" s="66"/>
      <c r="F83" s="66"/>
      <c r="G83" s="66"/>
      <c r="H83" s="66"/>
      <c r="I83" s="66"/>
      <c r="J83" s="66"/>
      <c r="K83" s="66"/>
      <c r="L83" s="66"/>
      <c r="AI83" s="66"/>
      <c r="AJ83" s="66"/>
      <c r="AK83" s="66"/>
      <c r="AS83" s="66"/>
      <c r="AT83" s="66"/>
      <c r="AU83" s="66"/>
      <c r="AV83" s="66"/>
      <c r="AW83" s="66"/>
      <c r="AX83" s="66"/>
      <c r="AY83" s="66"/>
      <c r="AZ83" s="66"/>
      <c r="BA83" s="66"/>
      <c r="BB83" s="66"/>
      <c r="BC83" s="66"/>
      <c r="BD83" s="66"/>
      <c r="BE83" s="66"/>
      <c r="BF83" s="66"/>
      <c r="BG83" s="66"/>
      <c r="BH83" s="66"/>
      <c r="BI83" s="66"/>
      <c r="BJ83" s="66"/>
      <c r="BK83" s="66"/>
      <c r="BL83" s="66"/>
      <c r="BM83" s="66"/>
      <c r="BN83" s="66"/>
      <c r="BO83" s="66"/>
      <c r="BP83" s="66"/>
      <c r="BQ83" s="66"/>
      <c r="BR83" s="66"/>
      <c r="BS83" s="66"/>
      <c r="BT83" s="66"/>
      <c r="BU83" s="66"/>
      <c r="BV83" s="66"/>
      <c r="BW83" s="66"/>
      <c r="BX83" s="66"/>
    </row>
    <row r="84" spans="1:76" x14ac:dyDescent="0.3">
      <c r="A84" s="66"/>
      <c r="B84" s="66"/>
      <c r="C84" s="66"/>
      <c r="D84" s="66"/>
      <c r="E84" s="66"/>
      <c r="F84" s="66"/>
      <c r="G84" s="66"/>
      <c r="H84" s="66"/>
      <c r="I84" s="66"/>
      <c r="J84" s="66"/>
      <c r="K84" s="66"/>
      <c r="L84" s="66"/>
      <c r="AI84" s="66"/>
      <c r="AJ84" s="66"/>
      <c r="AK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row>
    <row r="85" spans="1:76" x14ac:dyDescent="0.3">
      <c r="A85" s="66"/>
      <c r="B85" s="66"/>
      <c r="C85" s="66"/>
      <c r="D85" s="66"/>
      <c r="E85" s="66"/>
      <c r="F85" s="66"/>
      <c r="G85" s="66"/>
      <c r="H85" s="66"/>
      <c r="I85" s="66"/>
      <c r="J85" s="66"/>
      <c r="K85" s="66"/>
      <c r="L85" s="66"/>
      <c r="AI85" s="66"/>
      <c r="AJ85" s="66"/>
      <c r="AK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row>
    <row r="86" spans="1:76" x14ac:dyDescent="0.3">
      <c r="A86" s="66"/>
      <c r="B86" s="66"/>
      <c r="C86" s="66"/>
      <c r="D86" s="66"/>
      <c r="E86" s="66"/>
      <c r="F86" s="66"/>
      <c r="G86" s="66"/>
      <c r="H86" s="66"/>
      <c r="I86" s="66"/>
      <c r="J86" s="66"/>
      <c r="K86" s="66"/>
      <c r="L86" s="66"/>
      <c r="AI86" s="66"/>
      <c r="AJ86" s="66"/>
      <c r="AK86" s="66"/>
      <c r="AS86" s="66"/>
      <c r="AT86" s="66"/>
      <c r="AU86" s="66"/>
      <c r="AV86" s="66"/>
      <c r="AW86" s="66"/>
      <c r="AX86" s="66"/>
      <c r="AY86" s="66"/>
      <c r="AZ86" s="66"/>
      <c r="BA86" s="66"/>
      <c r="BB86" s="66"/>
      <c r="BC86" s="66"/>
      <c r="BD86" s="66"/>
      <c r="BE86" s="66"/>
      <c r="BF86" s="66"/>
      <c r="BG86" s="66"/>
      <c r="BH86" s="66"/>
      <c r="BI86" s="66"/>
      <c r="BJ86" s="66"/>
      <c r="BK86" s="66"/>
      <c r="BL86" s="66"/>
      <c r="BM86" s="66"/>
      <c r="BN86" s="66"/>
      <c r="BO86" s="66"/>
      <c r="BP86" s="66"/>
      <c r="BQ86" s="66"/>
      <c r="BR86" s="66"/>
      <c r="BS86" s="66"/>
      <c r="BT86" s="66"/>
      <c r="BU86" s="66"/>
      <c r="BV86" s="66"/>
      <c r="BW86" s="66"/>
      <c r="BX86" s="66"/>
    </row>
    <row r="87" spans="1:76" x14ac:dyDescent="0.3">
      <c r="A87" s="66"/>
      <c r="B87" s="66"/>
      <c r="C87" s="66"/>
      <c r="D87" s="66"/>
      <c r="E87" s="66"/>
      <c r="F87" s="66"/>
      <c r="G87" s="66"/>
      <c r="H87" s="66"/>
      <c r="I87" s="66"/>
      <c r="J87" s="66"/>
      <c r="K87" s="66"/>
      <c r="L87" s="66"/>
      <c r="AI87" s="66"/>
      <c r="AJ87" s="66"/>
      <c r="AK87" s="66"/>
      <c r="AS87" s="66"/>
      <c r="AT87" s="66"/>
      <c r="AU87" s="66"/>
      <c r="AV87" s="66"/>
      <c r="AW87" s="66"/>
      <c r="AX87" s="66"/>
      <c r="AY87" s="66"/>
      <c r="AZ87" s="66"/>
      <c r="BA87" s="66"/>
      <c r="BB87" s="66"/>
      <c r="BC87" s="66"/>
      <c r="BD87" s="66"/>
      <c r="BE87" s="66"/>
      <c r="BF87" s="66"/>
      <c r="BG87" s="66"/>
      <c r="BH87" s="66"/>
      <c r="BI87" s="66"/>
      <c r="BJ87" s="66"/>
      <c r="BK87" s="66"/>
      <c r="BL87" s="66"/>
      <c r="BM87" s="66"/>
      <c r="BN87" s="66"/>
      <c r="BO87" s="66"/>
      <c r="BP87" s="66"/>
      <c r="BQ87" s="66"/>
      <c r="BR87" s="66"/>
      <c r="BS87" s="66"/>
      <c r="BT87" s="66"/>
      <c r="BU87" s="66"/>
      <c r="BV87" s="66"/>
      <c r="BW87" s="66"/>
      <c r="BX87" s="66"/>
    </row>
    <row r="88" spans="1:76" x14ac:dyDescent="0.3">
      <c r="A88" s="66"/>
      <c r="B88" s="66"/>
      <c r="C88" s="66"/>
      <c r="D88" s="66"/>
      <c r="E88" s="66"/>
      <c r="F88" s="66"/>
      <c r="G88" s="66"/>
      <c r="H88" s="66"/>
      <c r="I88" s="66"/>
      <c r="J88" s="66"/>
      <c r="K88" s="66"/>
      <c r="L88" s="66"/>
      <c r="AI88" s="66"/>
      <c r="AJ88" s="66"/>
      <c r="AK88" s="66"/>
      <c r="AS88" s="66"/>
      <c r="AT88" s="66"/>
      <c r="AU88" s="66"/>
      <c r="AV88" s="66"/>
      <c r="AW88" s="66"/>
      <c r="AX88" s="66"/>
      <c r="AY88" s="66"/>
      <c r="AZ88" s="66"/>
      <c r="BA88" s="66"/>
      <c r="BB88" s="66"/>
      <c r="BC88" s="66"/>
      <c r="BD88" s="66"/>
      <c r="BE88" s="66"/>
      <c r="BF88" s="66"/>
      <c r="BG88" s="66"/>
      <c r="BH88" s="66"/>
      <c r="BI88" s="66"/>
      <c r="BJ88" s="66"/>
      <c r="BK88" s="66"/>
      <c r="BL88" s="66"/>
      <c r="BM88" s="66"/>
      <c r="BN88" s="66"/>
      <c r="BO88" s="66"/>
      <c r="BP88" s="66"/>
      <c r="BQ88" s="66"/>
      <c r="BR88" s="66"/>
      <c r="BS88" s="66"/>
      <c r="BT88" s="66"/>
      <c r="BU88" s="66"/>
      <c r="BV88" s="66"/>
      <c r="BW88" s="66"/>
      <c r="BX88" s="66"/>
    </row>
    <row r="89" spans="1:76" x14ac:dyDescent="0.3">
      <c r="A89" s="66"/>
      <c r="B89" s="66"/>
      <c r="C89" s="66"/>
      <c r="D89" s="66"/>
      <c r="E89" s="66"/>
      <c r="F89" s="66"/>
      <c r="G89" s="66"/>
      <c r="H89" s="66"/>
      <c r="I89" s="66"/>
      <c r="J89" s="66"/>
      <c r="K89" s="66"/>
      <c r="L89" s="66"/>
      <c r="AI89" s="66"/>
      <c r="AJ89" s="66"/>
      <c r="AK89" s="66"/>
      <c r="AS89" s="66"/>
      <c r="AT89" s="66"/>
      <c r="AU89" s="66"/>
      <c r="AV89" s="66"/>
      <c r="AW89" s="66"/>
      <c r="AX89" s="66"/>
      <c r="AY89" s="66"/>
      <c r="AZ89" s="66"/>
      <c r="BA89" s="66"/>
      <c r="BB89" s="66"/>
      <c r="BC89" s="66"/>
      <c r="BD89" s="66"/>
      <c r="BE89" s="66"/>
      <c r="BF89" s="66"/>
      <c r="BG89" s="66"/>
      <c r="BH89" s="66"/>
      <c r="BI89" s="66"/>
      <c r="BJ89" s="66"/>
      <c r="BK89" s="66"/>
      <c r="BL89" s="66"/>
      <c r="BM89" s="66"/>
      <c r="BN89" s="66"/>
      <c r="BO89" s="66"/>
      <c r="BP89" s="66"/>
      <c r="BQ89" s="66"/>
      <c r="BR89" s="66"/>
      <c r="BS89" s="66"/>
      <c r="BT89" s="66"/>
      <c r="BU89" s="66"/>
      <c r="BV89" s="66"/>
      <c r="BW89" s="66"/>
      <c r="BX89" s="66"/>
    </row>
    <row r="90" spans="1:76" x14ac:dyDescent="0.3">
      <c r="A90" s="66"/>
      <c r="B90" s="66"/>
      <c r="C90" s="66"/>
      <c r="D90" s="66"/>
      <c r="E90" s="66"/>
      <c r="F90" s="66"/>
      <c r="G90" s="66"/>
      <c r="H90" s="66"/>
      <c r="I90" s="66"/>
      <c r="J90" s="66"/>
      <c r="K90" s="66"/>
      <c r="L90" s="66"/>
      <c r="AI90" s="66"/>
      <c r="AJ90" s="66"/>
      <c r="AK90" s="66"/>
      <c r="AS90" s="66"/>
      <c r="AT90" s="66"/>
      <c r="AU90" s="66"/>
      <c r="AV90" s="66"/>
      <c r="AW90" s="66"/>
      <c r="AX90" s="66"/>
      <c r="AY90" s="66"/>
      <c r="AZ90" s="66"/>
      <c r="BA90" s="66"/>
      <c r="BB90" s="66"/>
      <c r="BC90" s="66"/>
      <c r="BD90" s="66"/>
      <c r="BE90" s="66"/>
      <c r="BF90" s="66"/>
      <c r="BG90" s="66"/>
      <c r="BH90" s="66"/>
      <c r="BI90" s="66"/>
      <c r="BJ90" s="66"/>
      <c r="BK90" s="66"/>
      <c r="BL90" s="66"/>
      <c r="BM90" s="66"/>
      <c r="BN90" s="66"/>
      <c r="BO90" s="66"/>
      <c r="BP90" s="66"/>
      <c r="BQ90" s="66"/>
      <c r="BR90" s="66"/>
      <c r="BS90" s="66"/>
      <c r="BT90" s="66"/>
      <c r="BU90" s="66"/>
      <c r="BV90" s="66"/>
      <c r="BW90" s="66"/>
      <c r="BX90" s="66"/>
    </row>
    <row r="91" spans="1:76" x14ac:dyDescent="0.3">
      <c r="A91" s="66"/>
      <c r="B91" s="66"/>
      <c r="C91" s="66"/>
      <c r="D91" s="66"/>
      <c r="E91" s="66"/>
      <c r="F91" s="66"/>
      <c r="G91" s="66"/>
      <c r="H91" s="66"/>
      <c r="I91" s="66"/>
      <c r="J91" s="66"/>
      <c r="K91" s="66"/>
      <c r="L91" s="66"/>
      <c r="AI91" s="66"/>
      <c r="AJ91" s="66"/>
      <c r="AK91" s="66"/>
      <c r="AS91" s="66"/>
      <c r="AT91" s="66"/>
      <c r="AU91" s="66"/>
      <c r="AV91" s="66"/>
      <c r="AW91" s="66"/>
      <c r="AX91" s="66"/>
      <c r="AY91" s="66"/>
      <c r="AZ91" s="66"/>
      <c r="BA91" s="66"/>
      <c r="BB91" s="66"/>
      <c r="BC91" s="66"/>
      <c r="BD91" s="66"/>
      <c r="BE91" s="66"/>
      <c r="BF91" s="66"/>
      <c r="BG91" s="66"/>
      <c r="BH91" s="66"/>
      <c r="BI91" s="66"/>
      <c r="BJ91" s="66"/>
      <c r="BK91" s="66"/>
      <c r="BL91" s="66"/>
      <c r="BM91" s="66"/>
      <c r="BN91" s="66"/>
      <c r="BO91" s="66"/>
      <c r="BP91" s="66"/>
      <c r="BQ91" s="66"/>
      <c r="BR91" s="66"/>
      <c r="BS91" s="66"/>
      <c r="BT91" s="66"/>
      <c r="BU91" s="66"/>
      <c r="BV91" s="66"/>
      <c r="BW91" s="66"/>
      <c r="BX91" s="66"/>
    </row>
    <row r="92" spans="1:76" x14ac:dyDescent="0.3">
      <c r="A92" s="66"/>
      <c r="B92" s="66"/>
      <c r="C92" s="66"/>
      <c r="D92" s="66"/>
      <c r="E92" s="66"/>
      <c r="F92" s="66"/>
      <c r="G92" s="66"/>
      <c r="H92" s="66"/>
      <c r="I92" s="66"/>
      <c r="J92" s="66"/>
      <c r="K92" s="66"/>
      <c r="L92" s="66"/>
      <c r="AI92" s="66"/>
      <c r="AJ92" s="66"/>
      <c r="AK92" s="66"/>
      <c r="AS92" s="66"/>
      <c r="AT92" s="66"/>
      <c r="AU92" s="66"/>
      <c r="AV92" s="66"/>
      <c r="AW92" s="66"/>
      <c r="AX92" s="66"/>
      <c r="AY92" s="66"/>
      <c r="AZ92" s="66"/>
      <c r="BA92" s="66"/>
      <c r="BB92" s="66"/>
      <c r="BC92" s="66"/>
      <c r="BD92" s="66"/>
      <c r="BE92" s="66"/>
      <c r="BF92" s="66"/>
      <c r="BG92" s="66"/>
      <c r="BH92" s="66"/>
      <c r="BI92" s="66"/>
      <c r="BJ92" s="66"/>
      <c r="BK92" s="66"/>
      <c r="BL92" s="66"/>
      <c r="BM92" s="66"/>
      <c r="BN92" s="66"/>
      <c r="BO92" s="66"/>
      <c r="BP92" s="66"/>
      <c r="BQ92" s="66"/>
      <c r="BR92" s="66"/>
      <c r="BS92" s="66"/>
      <c r="BT92" s="66"/>
      <c r="BU92" s="66"/>
      <c r="BV92" s="66"/>
      <c r="BW92" s="66"/>
      <c r="BX92" s="66"/>
    </row>
    <row r="93" spans="1:76" x14ac:dyDescent="0.3">
      <c r="A93" s="66"/>
      <c r="B93" s="66"/>
      <c r="C93" s="66"/>
      <c r="D93" s="66"/>
      <c r="E93" s="66"/>
      <c r="F93" s="66"/>
      <c r="G93" s="66"/>
      <c r="H93" s="66"/>
      <c r="I93" s="66"/>
      <c r="J93" s="66"/>
      <c r="K93" s="66"/>
      <c r="L93" s="66"/>
      <c r="AI93" s="66"/>
      <c r="AJ93" s="66"/>
      <c r="AK93" s="66"/>
      <c r="AS93" s="66"/>
      <c r="AT93" s="66"/>
      <c r="AU93" s="66"/>
      <c r="AV93" s="66"/>
      <c r="AW93" s="66"/>
      <c r="AX93" s="66"/>
      <c r="AY93" s="66"/>
      <c r="AZ93" s="66"/>
      <c r="BA93" s="66"/>
      <c r="BB93" s="66"/>
      <c r="BC93" s="66"/>
      <c r="BD93" s="66"/>
      <c r="BE93" s="66"/>
      <c r="BF93" s="66"/>
      <c r="BG93" s="66"/>
      <c r="BH93" s="66"/>
      <c r="BI93" s="66"/>
      <c r="BJ93" s="66"/>
      <c r="BK93" s="66"/>
      <c r="BL93" s="66"/>
      <c r="BM93" s="66"/>
      <c r="BN93" s="66"/>
      <c r="BO93" s="66"/>
      <c r="BP93" s="66"/>
      <c r="BQ93" s="66"/>
      <c r="BR93" s="66"/>
      <c r="BS93" s="66"/>
      <c r="BT93" s="66"/>
      <c r="BU93" s="66"/>
      <c r="BV93" s="66"/>
      <c r="BW93" s="66"/>
      <c r="BX93" s="66"/>
    </row>
    <row r="94" spans="1:76" x14ac:dyDescent="0.3">
      <c r="A94" s="66"/>
      <c r="B94" s="66"/>
      <c r="C94" s="66"/>
      <c r="D94" s="66"/>
      <c r="E94" s="66"/>
      <c r="F94" s="66"/>
      <c r="G94" s="66"/>
      <c r="H94" s="66"/>
      <c r="I94" s="66"/>
      <c r="J94" s="66"/>
      <c r="K94" s="66"/>
      <c r="L94" s="66"/>
      <c r="AI94" s="66"/>
      <c r="AJ94" s="66"/>
      <c r="AK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row>
    <row r="95" spans="1:76" x14ac:dyDescent="0.3">
      <c r="A95" s="66"/>
      <c r="B95" s="66"/>
      <c r="C95" s="66"/>
      <c r="D95" s="66"/>
      <c r="E95" s="66"/>
      <c r="F95" s="66"/>
      <c r="G95" s="66"/>
      <c r="H95" s="66"/>
      <c r="I95" s="66"/>
      <c r="J95" s="66"/>
      <c r="K95" s="66"/>
      <c r="L95" s="66"/>
      <c r="AI95" s="66"/>
      <c r="AJ95" s="66"/>
      <c r="AK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row>
    <row r="96" spans="1:76" x14ac:dyDescent="0.3">
      <c r="A96" s="66"/>
      <c r="B96" s="66"/>
      <c r="C96" s="66"/>
      <c r="D96" s="66"/>
      <c r="E96" s="66"/>
      <c r="F96" s="66"/>
      <c r="G96" s="66"/>
      <c r="H96" s="66"/>
      <c r="I96" s="66"/>
      <c r="J96" s="66"/>
      <c r="K96" s="66"/>
      <c r="L96" s="66"/>
    </row>
    <row r="97" spans="1:12" x14ac:dyDescent="0.3">
      <c r="A97" s="66"/>
      <c r="B97" s="66"/>
      <c r="C97" s="66"/>
      <c r="D97" s="66"/>
      <c r="E97" s="66"/>
      <c r="F97" s="66"/>
      <c r="G97" s="66"/>
      <c r="H97" s="66"/>
      <c r="I97" s="66"/>
      <c r="J97" s="66"/>
      <c r="K97" s="66"/>
      <c r="L97" s="66"/>
    </row>
    <row r="98" spans="1:12" x14ac:dyDescent="0.3">
      <c r="A98" s="66"/>
      <c r="B98" s="66"/>
      <c r="C98" s="66"/>
      <c r="D98" s="66"/>
      <c r="E98" s="66"/>
      <c r="F98" s="66"/>
      <c r="G98" s="66"/>
      <c r="H98" s="66"/>
      <c r="I98" s="66"/>
      <c r="J98" s="66"/>
      <c r="K98" s="66"/>
      <c r="L98" s="66"/>
    </row>
    <row r="99" spans="1:12" x14ac:dyDescent="0.3">
      <c r="A99" s="66"/>
      <c r="B99" s="66"/>
      <c r="C99" s="66"/>
      <c r="D99" s="66"/>
      <c r="E99" s="66"/>
      <c r="F99" s="66"/>
      <c r="G99" s="66"/>
      <c r="H99" s="66"/>
      <c r="I99" s="66"/>
      <c r="J99" s="66"/>
      <c r="K99" s="66"/>
      <c r="L99" s="66"/>
    </row>
    <row r="100" spans="1:12" x14ac:dyDescent="0.3">
      <c r="A100" s="66"/>
      <c r="B100" s="66"/>
      <c r="C100" s="66"/>
      <c r="D100" s="66"/>
      <c r="E100" s="66"/>
      <c r="F100" s="66"/>
      <c r="G100" s="66"/>
      <c r="H100" s="66"/>
      <c r="I100" s="66"/>
      <c r="J100" s="66"/>
      <c r="K100" s="66"/>
      <c r="L100" s="66"/>
    </row>
    <row r="101" spans="1:12" x14ac:dyDescent="0.3">
      <c r="A101" s="66"/>
      <c r="B101" s="66"/>
      <c r="C101" s="66"/>
      <c r="D101" s="66"/>
      <c r="E101" s="66"/>
      <c r="F101" s="66"/>
      <c r="G101" s="66"/>
      <c r="H101" s="66"/>
      <c r="I101" s="66"/>
      <c r="J101" s="66"/>
      <c r="K101" s="66"/>
      <c r="L101" s="66"/>
    </row>
    <row r="102" spans="1:12" x14ac:dyDescent="0.3">
      <c r="A102" s="66"/>
      <c r="B102" s="66"/>
      <c r="C102" s="66"/>
      <c r="D102" s="66"/>
      <c r="E102" s="66"/>
      <c r="F102" s="66"/>
      <c r="G102" s="66"/>
      <c r="H102" s="66"/>
      <c r="I102" s="66"/>
      <c r="J102" s="66"/>
      <c r="K102" s="66"/>
      <c r="L102" s="66"/>
    </row>
    <row r="103" spans="1:12" x14ac:dyDescent="0.3">
      <c r="A103" s="66"/>
      <c r="B103" s="66"/>
      <c r="C103" s="66"/>
      <c r="D103" s="66"/>
      <c r="E103" s="66"/>
      <c r="F103" s="66"/>
      <c r="G103" s="66"/>
      <c r="H103" s="66"/>
      <c r="I103" s="66"/>
      <c r="J103" s="66"/>
      <c r="K103" s="66"/>
      <c r="L103" s="66"/>
    </row>
    <row r="104" spans="1:12" x14ac:dyDescent="0.3">
      <c r="A104" s="66"/>
      <c r="B104" s="66"/>
      <c r="C104" s="66"/>
      <c r="D104" s="66"/>
      <c r="E104" s="66"/>
      <c r="F104" s="66"/>
      <c r="G104" s="66"/>
      <c r="H104" s="66"/>
      <c r="I104" s="66"/>
      <c r="J104" s="66"/>
      <c r="K104" s="66"/>
      <c r="L104" s="66"/>
    </row>
    <row r="105" spans="1:12" x14ac:dyDescent="0.3">
      <c r="A105" s="66"/>
      <c r="B105" s="66"/>
      <c r="C105" s="66"/>
      <c r="D105" s="66"/>
      <c r="E105" s="66"/>
      <c r="F105" s="66"/>
      <c r="G105" s="66"/>
      <c r="H105" s="66"/>
      <c r="I105" s="66"/>
      <c r="J105" s="66"/>
      <c r="K105" s="66"/>
      <c r="L105" s="66"/>
    </row>
    <row r="106" spans="1:12" x14ac:dyDescent="0.3">
      <c r="A106" s="66"/>
      <c r="B106" s="66"/>
      <c r="C106" s="66"/>
      <c r="D106" s="66"/>
      <c r="E106" s="66"/>
      <c r="F106" s="66"/>
      <c r="G106" s="66"/>
      <c r="H106" s="66"/>
      <c r="I106" s="66"/>
      <c r="J106" s="66"/>
      <c r="K106" s="66"/>
      <c r="L106" s="66"/>
    </row>
    <row r="107" spans="1:12" x14ac:dyDescent="0.3">
      <c r="A107" s="66"/>
      <c r="B107" s="66"/>
      <c r="C107" s="66"/>
      <c r="D107" s="66"/>
      <c r="E107" s="66"/>
      <c r="F107" s="66"/>
      <c r="G107" s="66"/>
      <c r="H107" s="66"/>
      <c r="I107" s="66"/>
      <c r="J107" s="66"/>
      <c r="K107" s="66"/>
      <c r="L107" s="66"/>
    </row>
    <row r="108" spans="1:12" x14ac:dyDescent="0.3">
      <c r="A108" s="66"/>
      <c r="B108" s="66"/>
      <c r="C108" s="66"/>
      <c r="D108" s="66"/>
      <c r="E108" s="66"/>
      <c r="F108" s="66"/>
      <c r="G108" s="66"/>
      <c r="H108" s="66"/>
      <c r="I108" s="66"/>
      <c r="J108" s="66"/>
      <c r="K108" s="66"/>
      <c r="L108" s="66"/>
    </row>
    <row r="109" spans="1:12" x14ac:dyDescent="0.3">
      <c r="A109" s="66"/>
      <c r="B109" s="66"/>
      <c r="C109" s="66"/>
      <c r="D109" s="66"/>
      <c r="E109" s="66"/>
      <c r="F109" s="66"/>
      <c r="G109" s="66"/>
      <c r="H109" s="66"/>
      <c r="I109" s="66"/>
      <c r="J109" s="66"/>
      <c r="K109" s="66"/>
      <c r="L109" s="66"/>
    </row>
    <row r="110" spans="1:12" x14ac:dyDescent="0.3">
      <c r="A110" s="66"/>
      <c r="B110" s="66"/>
      <c r="C110" s="66"/>
      <c r="D110" s="66"/>
      <c r="E110" s="66"/>
      <c r="F110" s="66"/>
      <c r="G110" s="66"/>
      <c r="H110" s="66"/>
      <c r="I110" s="66"/>
      <c r="J110" s="66"/>
      <c r="K110" s="66"/>
      <c r="L110" s="66"/>
    </row>
    <row r="111" spans="1:12" x14ac:dyDescent="0.3">
      <c r="A111" s="66"/>
      <c r="B111" s="66"/>
      <c r="C111" s="66"/>
      <c r="D111" s="66"/>
      <c r="E111" s="66"/>
      <c r="F111" s="66"/>
      <c r="G111" s="66"/>
      <c r="H111" s="66"/>
      <c r="I111" s="66"/>
      <c r="J111" s="66"/>
      <c r="K111" s="66"/>
      <c r="L111" s="66"/>
    </row>
    <row r="112" spans="1:12" x14ac:dyDescent="0.3">
      <c r="A112" s="66"/>
      <c r="B112" s="66"/>
      <c r="C112" s="66"/>
      <c r="D112" s="66"/>
      <c r="E112" s="66"/>
      <c r="F112" s="66"/>
      <c r="G112" s="66"/>
      <c r="H112" s="66"/>
      <c r="I112" s="66"/>
      <c r="J112" s="66"/>
      <c r="K112" s="66"/>
      <c r="L112" s="66"/>
    </row>
    <row r="113" spans="1:12" x14ac:dyDescent="0.3">
      <c r="A113" s="66"/>
      <c r="B113" s="66"/>
      <c r="C113" s="66"/>
      <c r="D113" s="66"/>
      <c r="E113" s="66"/>
      <c r="F113" s="66"/>
      <c r="G113" s="66"/>
      <c r="H113" s="66"/>
      <c r="I113" s="66"/>
      <c r="J113" s="66"/>
      <c r="K113" s="66"/>
      <c r="L113" s="66"/>
    </row>
    <row r="114" spans="1:12" x14ac:dyDescent="0.3">
      <c r="A114" s="66"/>
      <c r="B114" s="66"/>
      <c r="C114" s="66"/>
      <c r="D114" s="66"/>
      <c r="E114" s="66"/>
      <c r="F114" s="66"/>
      <c r="G114" s="66"/>
      <c r="H114" s="66"/>
      <c r="I114" s="66"/>
      <c r="J114" s="66"/>
      <c r="K114" s="66"/>
      <c r="L114" s="66"/>
    </row>
    <row r="115" spans="1:12" x14ac:dyDescent="0.3">
      <c r="A115" s="66"/>
      <c r="B115" s="66"/>
      <c r="C115" s="66"/>
      <c r="D115" s="66"/>
      <c r="E115" s="66"/>
      <c r="F115" s="66"/>
      <c r="G115" s="66"/>
      <c r="H115" s="66"/>
      <c r="I115" s="66"/>
      <c r="J115" s="66"/>
      <c r="K115" s="66"/>
      <c r="L115" s="66"/>
    </row>
    <row r="116" spans="1:12" x14ac:dyDescent="0.3">
      <c r="A116" s="66"/>
      <c r="B116" s="66"/>
      <c r="C116" s="66"/>
      <c r="D116" s="66"/>
      <c r="E116" s="66"/>
      <c r="F116" s="66"/>
      <c r="G116" s="66"/>
      <c r="H116" s="66"/>
      <c r="I116" s="66"/>
      <c r="J116" s="66"/>
      <c r="K116" s="66"/>
      <c r="L116" s="66"/>
    </row>
    <row r="117" spans="1:12" x14ac:dyDescent="0.3">
      <c r="A117" s="66"/>
      <c r="B117" s="66"/>
      <c r="C117" s="66"/>
      <c r="D117" s="66"/>
      <c r="E117" s="66"/>
      <c r="F117" s="66"/>
      <c r="G117" s="66"/>
      <c r="H117" s="66"/>
      <c r="I117" s="66"/>
      <c r="J117" s="66"/>
      <c r="K117" s="66"/>
      <c r="L117" s="66"/>
    </row>
    <row r="118" spans="1:12" x14ac:dyDescent="0.3">
      <c r="A118" s="66"/>
      <c r="B118" s="66"/>
      <c r="C118" s="66"/>
      <c r="D118" s="66"/>
      <c r="E118" s="66"/>
      <c r="F118" s="66"/>
      <c r="G118" s="66"/>
      <c r="H118" s="66"/>
      <c r="I118" s="66"/>
      <c r="J118" s="66"/>
      <c r="K118" s="66"/>
      <c r="L118" s="66"/>
    </row>
    <row r="119" spans="1:12" x14ac:dyDescent="0.3">
      <c r="A119" s="66"/>
      <c r="B119" s="66"/>
      <c r="C119" s="66"/>
      <c r="D119" s="66"/>
      <c r="E119" s="66"/>
      <c r="F119" s="66"/>
      <c r="G119" s="66"/>
      <c r="H119" s="66"/>
      <c r="I119" s="66"/>
      <c r="J119" s="66"/>
      <c r="K119" s="66"/>
      <c r="L119" s="66"/>
    </row>
    <row r="120" spans="1:12" x14ac:dyDescent="0.3">
      <c r="A120" s="66"/>
      <c r="B120" s="66"/>
      <c r="C120" s="66"/>
      <c r="D120" s="66"/>
      <c r="E120" s="66"/>
      <c r="F120" s="66"/>
      <c r="G120" s="66"/>
      <c r="H120" s="66"/>
      <c r="I120" s="66"/>
      <c r="J120" s="66"/>
      <c r="K120" s="66"/>
      <c r="L120" s="66"/>
    </row>
    <row r="121" spans="1:12" x14ac:dyDescent="0.3">
      <c r="A121" s="66"/>
      <c r="B121" s="66"/>
      <c r="C121" s="66"/>
      <c r="D121" s="66"/>
      <c r="E121" s="66"/>
      <c r="F121" s="66"/>
      <c r="G121" s="66"/>
      <c r="H121" s="66"/>
      <c r="I121" s="66"/>
      <c r="J121" s="66"/>
      <c r="K121" s="66"/>
      <c r="L121" s="66"/>
    </row>
    <row r="122" spans="1:12" x14ac:dyDescent="0.3">
      <c r="A122" s="66"/>
      <c r="B122" s="66"/>
      <c r="C122" s="66"/>
      <c r="D122" s="66"/>
      <c r="E122" s="66"/>
      <c r="F122" s="66"/>
      <c r="G122" s="66"/>
      <c r="H122" s="66"/>
      <c r="I122" s="66"/>
      <c r="J122" s="66"/>
      <c r="K122" s="66"/>
      <c r="L122" s="66"/>
    </row>
    <row r="123" spans="1:12" x14ac:dyDescent="0.3">
      <c r="A123" s="66"/>
      <c r="B123" s="66"/>
      <c r="C123" s="66"/>
      <c r="D123" s="66"/>
      <c r="E123" s="66"/>
      <c r="F123" s="66"/>
      <c r="G123" s="66"/>
      <c r="H123" s="66"/>
      <c r="I123" s="66"/>
      <c r="J123" s="66"/>
      <c r="K123" s="66"/>
      <c r="L123" s="66"/>
    </row>
    <row r="124" spans="1:12" x14ac:dyDescent="0.3">
      <c r="A124" s="66"/>
      <c r="B124" s="66"/>
      <c r="C124" s="66"/>
      <c r="D124" s="66"/>
      <c r="E124" s="66"/>
      <c r="F124" s="66"/>
      <c r="G124" s="66"/>
      <c r="H124" s="66"/>
      <c r="I124" s="66"/>
      <c r="J124" s="66"/>
      <c r="K124" s="66"/>
      <c r="L124" s="66"/>
    </row>
    <row r="125" spans="1:12" x14ac:dyDescent="0.3">
      <c r="A125" s="66"/>
      <c r="B125" s="66"/>
      <c r="C125" s="66"/>
      <c r="D125" s="66"/>
      <c r="E125" s="66"/>
      <c r="F125" s="66"/>
      <c r="G125" s="66"/>
      <c r="H125" s="66"/>
      <c r="I125" s="66"/>
      <c r="J125" s="66"/>
      <c r="K125" s="66"/>
      <c r="L125" s="66"/>
    </row>
    <row r="126" spans="1:12" x14ac:dyDescent="0.3">
      <c r="A126" s="66"/>
      <c r="B126" s="66"/>
      <c r="C126" s="66"/>
      <c r="D126" s="66"/>
      <c r="E126" s="66"/>
      <c r="F126" s="66"/>
      <c r="G126" s="66"/>
      <c r="H126" s="66"/>
      <c r="I126" s="66"/>
      <c r="J126" s="66"/>
      <c r="K126" s="66"/>
      <c r="L126" s="66"/>
    </row>
    <row r="127" spans="1:12" x14ac:dyDescent="0.3">
      <c r="A127" s="66"/>
      <c r="B127" s="66"/>
      <c r="C127" s="66"/>
      <c r="D127" s="66"/>
      <c r="E127" s="66"/>
      <c r="F127" s="66"/>
      <c r="G127" s="66"/>
      <c r="H127" s="66"/>
      <c r="I127" s="66"/>
      <c r="J127" s="66"/>
      <c r="K127" s="66"/>
      <c r="L127" s="66"/>
    </row>
    <row r="128" spans="1:12" x14ac:dyDescent="0.3">
      <c r="A128" s="66"/>
      <c r="B128" s="66"/>
      <c r="C128" s="66"/>
      <c r="D128" s="66"/>
      <c r="E128" s="66"/>
      <c r="F128" s="66"/>
      <c r="G128" s="66"/>
      <c r="H128" s="66"/>
      <c r="I128" s="66"/>
      <c r="J128" s="66"/>
      <c r="K128" s="66"/>
      <c r="L128" s="66"/>
    </row>
    <row r="129" spans="1:12" x14ac:dyDescent="0.3">
      <c r="A129" s="66"/>
      <c r="B129" s="66"/>
      <c r="C129" s="66"/>
      <c r="D129" s="66"/>
      <c r="E129" s="66"/>
      <c r="F129" s="66"/>
      <c r="G129" s="66"/>
      <c r="H129" s="66"/>
      <c r="I129" s="66"/>
      <c r="J129" s="66"/>
      <c r="K129" s="66"/>
      <c r="L129" s="66"/>
    </row>
    <row r="130" spans="1:12" x14ac:dyDescent="0.3">
      <c r="A130" s="66"/>
      <c r="B130" s="66"/>
      <c r="C130" s="66"/>
      <c r="D130" s="66"/>
      <c r="E130" s="66"/>
      <c r="F130" s="66"/>
      <c r="G130" s="66"/>
      <c r="H130" s="66"/>
      <c r="I130" s="66"/>
      <c r="J130" s="66"/>
      <c r="K130" s="66"/>
      <c r="L130" s="66"/>
    </row>
    <row r="131" spans="1:12" x14ac:dyDescent="0.3">
      <c r="A131" s="66"/>
      <c r="B131" s="66"/>
      <c r="C131" s="66"/>
      <c r="D131" s="66"/>
      <c r="E131" s="66"/>
      <c r="F131" s="66"/>
      <c r="G131" s="66"/>
      <c r="H131" s="66"/>
      <c r="I131" s="66"/>
      <c r="J131" s="66"/>
      <c r="K131" s="66"/>
      <c r="L131" s="66"/>
    </row>
    <row r="132" spans="1:12" x14ac:dyDescent="0.3">
      <c r="A132" s="66"/>
      <c r="B132" s="66"/>
      <c r="C132" s="66"/>
      <c r="D132" s="66"/>
      <c r="E132" s="66"/>
      <c r="F132" s="66"/>
      <c r="G132" s="66"/>
      <c r="H132" s="66"/>
      <c r="I132" s="66"/>
      <c r="J132" s="66"/>
      <c r="K132" s="66"/>
      <c r="L132" s="66"/>
    </row>
    <row r="133" spans="1:12" x14ac:dyDescent="0.3">
      <c r="A133" s="66"/>
      <c r="B133" s="66"/>
      <c r="C133" s="66"/>
      <c r="D133" s="66"/>
      <c r="E133" s="66"/>
      <c r="F133" s="66"/>
      <c r="G133" s="66"/>
      <c r="H133" s="66"/>
      <c r="I133" s="66"/>
      <c r="J133" s="66"/>
      <c r="K133" s="66"/>
      <c r="L133" s="66"/>
    </row>
    <row r="134" spans="1:12" x14ac:dyDescent="0.3">
      <c r="A134" s="66"/>
      <c r="B134" s="66"/>
      <c r="C134" s="66"/>
      <c r="D134" s="66"/>
      <c r="E134" s="66"/>
      <c r="F134" s="66"/>
      <c r="G134" s="66"/>
      <c r="H134" s="66"/>
      <c r="I134" s="66"/>
      <c r="J134" s="66"/>
      <c r="K134" s="66"/>
      <c r="L134" s="66"/>
    </row>
    <row r="135" spans="1:12" x14ac:dyDescent="0.3">
      <c r="A135" s="66"/>
      <c r="B135" s="66"/>
      <c r="C135" s="66"/>
      <c r="D135" s="66"/>
      <c r="E135" s="66"/>
      <c r="F135" s="66"/>
      <c r="G135" s="66"/>
      <c r="H135" s="66"/>
      <c r="I135" s="66"/>
      <c r="J135" s="66"/>
      <c r="K135" s="66"/>
      <c r="L135" s="66"/>
    </row>
    <row r="136" spans="1:12" x14ac:dyDescent="0.3">
      <c r="A136" s="66"/>
      <c r="B136" s="66"/>
      <c r="C136" s="66"/>
      <c r="D136" s="66"/>
      <c r="E136" s="66"/>
      <c r="F136" s="66"/>
      <c r="G136" s="66"/>
      <c r="H136" s="66"/>
      <c r="I136" s="66"/>
      <c r="J136" s="66"/>
      <c r="K136" s="66"/>
      <c r="L136" s="66"/>
    </row>
    <row r="137" spans="1:12" x14ac:dyDescent="0.3">
      <c r="A137" s="66"/>
      <c r="B137" s="66"/>
      <c r="C137" s="66"/>
      <c r="D137" s="66"/>
      <c r="E137" s="66"/>
      <c r="F137" s="66"/>
      <c r="G137" s="66"/>
      <c r="H137" s="66"/>
      <c r="I137" s="66"/>
      <c r="J137" s="66"/>
      <c r="K137" s="66"/>
      <c r="L137" s="66"/>
    </row>
    <row r="138" spans="1:12" x14ac:dyDescent="0.3">
      <c r="A138" s="66"/>
      <c r="B138" s="66"/>
      <c r="C138" s="66"/>
      <c r="D138" s="66"/>
      <c r="E138" s="66"/>
      <c r="F138" s="66"/>
      <c r="G138" s="66"/>
      <c r="H138" s="66"/>
      <c r="I138" s="66"/>
      <c r="J138" s="66"/>
      <c r="K138" s="66"/>
      <c r="L138" s="66"/>
    </row>
    <row r="139" spans="1:12" x14ac:dyDescent="0.3">
      <c r="A139" s="66"/>
      <c r="B139" s="66"/>
      <c r="C139" s="66"/>
      <c r="D139" s="66"/>
      <c r="E139" s="66"/>
      <c r="F139" s="66"/>
      <c r="G139" s="66"/>
      <c r="H139" s="66"/>
      <c r="I139" s="66"/>
      <c r="J139" s="66"/>
      <c r="K139" s="66"/>
      <c r="L139" s="66"/>
    </row>
    <row r="140" spans="1:12" x14ac:dyDescent="0.3">
      <c r="A140" s="66"/>
      <c r="B140" s="66"/>
      <c r="C140" s="66"/>
      <c r="D140" s="66"/>
      <c r="E140" s="66"/>
      <c r="F140" s="66"/>
      <c r="G140" s="66"/>
      <c r="H140" s="66"/>
      <c r="I140" s="66"/>
      <c r="J140" s="66"/>
      <c r="K140" s="66"/>
      <c r="L140" s="66"/>
    </row>
    <row r="141" spans="1:12" x14ac:dyDescent="0.3">
      <c r="A141" s="66"/>
      <c r="B141" s="66"/>
      <c r="C141" s="66"/>
      <c r="D141" s="66"/>
      <c r="E141" s="66"/>
      <c r="F141" s="66"/>
      <c r="G141" s="66"/>
      <c r="H141" s="66"/>
      <c r="I141" s="66"/>
      <c r="J141" s="66"/>
      <c r="K141" s="66"/>
      <c r="L141" s="66"/>
    </row>
    <row r="142" spans="1:12" x14ac:dyDescent="0.3">
      <c r="A142" s="66"/>
      <c r="B142" s="66"/>
      <c r="C142" s="66"/>
      <c r="D142" s="66"/>
      <c r="E142" s="66"/>
      <c r="F142" s="66"/>
      <c r="G142" s="66"/>
      <c r="H142" s="66"/>
      <c r="I142" s="66"/>
      <c r="J142" s="66"/>
      <c r="K142" s="66"/>
      <c r="L142" s="66"/>
    </row>
    <row r="143" spans="1:12" x14ac:dyDescent="0.3">
      <c r="A143" s="66"/>
      <c r="B143" s="66"/>
      <c r="C143" s="66"/>
      <c r="D143" s="66"/>
      <c r="E143" s="66"/>
      <c r="F143" s="66"/>
      <c r="G143" s="66"/>
      <c r="H143" s="66"/>
      <c r="I143" s="66"/>
      <c r="J143" s="66"/>
      <c r="K143" s="66"/>
      <c r="L143" s="66"/>
    </row>
    <row r="144" spans="1:12" x14ac:dyDescent="0.3">
      <c r="A144" s="66"/>
      <c r="B144" s="66"/>
      <c r="C144" s="66"/>
      <c r="D144" s="66"/>
      <c r="E144" s="66"/>
      <c r="F144" s="66"/>
      <c r="G144" s="66"/>
      <c r="H144" s="66"/>
      <c r="I144" s="66"/>
      <c r="J144" s="66"/>
      <c r="K144" s="66"/>
      <c r="L144" s="66"/>
    </row>
    <row r="145" spans="1:12" x14ac:dyDescent="0.3">
      <c r="A145" s="66"/>
      <c r="B145" s="66"/>
      <c r="C145" s="66"/>
      <c r="D145" s="66"/>
      <c r="E145" s="66"/>
      <c r="F145" s="66"/>
      <c r="G145" s="66"/>
      <c r="H145" s="66"/>
      <c r="I145" s="66"/>
      <c r="J145" s="66"/>
      <c r="K145" s="66"/>
      <c r="L145" s="66"/>
    </row>
    <row r="146" spans="1:12" x14ac:dyDescent="0.3">
      <c r="A146" s="66"/>
      <c r="B146" s="66"/>
      <c r="C146" s="66"/>
      <c r="D146" s="66"/>
      <c r="E146" s="66"/>
      <c r="F146" s="66"/>
      <c r="G146" s="66"/>
      <c r="H146" s="66"/>
      <c r="I146" s="66"/>
      <c r="J146" s="66"/>
      <c r="K146" s="66"/>
      <c r="L146" s="66"/>
    </row>
    <row r="147" spans="1:12" x14ac:dyDescent="0.3">
      <c r="A147" s="66"/>
      <c r="B147" s="66"/>
      <c r="C147" s="66"/>
      <c r="D147" s="66"/>
      <c r="E147" s="66"/>
      <c r="F147" s="66"/>
      <c r="G147" s="66"/>
      <c r="H147" s="66"/>
      <c r="I147" s="66"/>
      <c r="J147" s="66"/>
      <c r="K147" s="66"/>
      <c r="L147" s="66"/>
    </row>
    <row r="148" spans="1:12" x14ac:dyDescent="0.3">
      <c r="A148" s="66"/>
      <c r="B148" s="66"/>
      <c r="C148" s="66"/>
      <c r="D148" s="66"/>
      <c r="E148" s="66"/>
      <c r="F148" s="66"/>
      <c r="G148" s="66"/>
      <c r="H148" s="66"/>
      <c r="I148" s="66"/>
      <c r="J148" s="66"/>
      <c r="K148" s="66"/>
      <c r="L148" s="66"/>
    </row>
    <row r="149" spans="1:12" x14ac:dyDescent="0.3">
      <c r="A149" s="66"/>
      <c r="B149" s="66"/>
      <c r="C149" s="66"/>
      <c r="D149" s="66"/>
      <c r="E149" s="66"/>
      <c r="F149" s="66"/>
      <c r="G149" s="66"/>
      <c r="H149" s="66"/>
      <c r="I149" s="66"/>
      <c r="J149" s="66"/>
      <c r="K149" s="66"/>
      <c r="L149" s="66"/>
    </row>
    <row r="150" spans="1:12" x14ac:dyDescent="0.3">
      <c r="A150" s="66"/>
      <c r="B150" s="66"/>
      <c r="C150" s="66"/>
      <c r="D150" s="66"/>
      <c r="E150" s="66"/>
      <c r="F150" s="66"/>
      <c r="G150" s="66"/>
      <c r="H150" s="66"/>
      <c r="I150" s="66"/>
      <c r="J150" s="66"/>
      <c r="K150" s="66"/>
      <c r="L150" s="66"/>
    </row>
    <row r="151" spans="1:12" x14ac:dyDescent="0.3">
      <c r="A151" s="66"/>
      <c r="B151" s="66"/>
      <c r="C151" s="66"/>
      <c r="D151" s="66"/>
      <c r="E151" s="66"/>
      <c r="F151" s="66"/>
      <c r="G151" s="66"/>
      <c r="H151" s="66"/>
      <c r="I151" s="66"/>
      <c r="J151" s="66"/>
      <c r="K151" s="66"/>
      <c r="L151" s="66"/>
    </row>
    <row r="152" spans="1:12" x14ac:dyDescent="0.3">
      <c r="A152" s="66"/>
      <c r="B152" s="66"/>
      <c r="C152" s="66"/>
      <c r="D152" s="66"/>
      <c r="E152" s="66"/>
      <c r="F152" s="66"/>
      <c r="G152" s="66"/>
      <c r="H152" s="66"/>
      <c r="I152" s="66"/>
      <c r="J152" s="66"/>
      <c r="K152" s="66"/>
      <c r="L152" s="66"/>
    </row>
    <row r="153" spans="1:12" x14ac:dyDescent="0.3">
      <c r="A153" s="66"/>
      <c r="B153" s="66"/>
      <c r="C153" s="66"/>
      <c r="D153" s="66"/>
      <c r="E153" s="66"/>
      <c r="F153" s="66"/>
      <c r="G153" s="66"/>
      <c r="H153" s="66"/>
      <c r="I153" s="66"/>
      <c r="J153" s="66"/>
      <c r="K153" s="66"/>
      <c r="L153" s="66"/>
    </row>
    <row r="154" spans="1:12" x14ac:dyDescent="0.3">
      <c r="A154" s="66"/>
      <c r="B154" s="66"/>
      <c r="C154" s="66"/>
      <c r="D154" s="66"/>
      <c r="E154" s="66"/>
      <c r="F154" s="66"/>
      <c r="G154" s="66"/>
      <c r="H154" s="66"/>
      <c r="I154" s="66"/>
      <c r="J154" s="66"/>
      <c r="K154" s="66"/>
      <c r="L154" s="66"/>
    </row>
    <row r="155" spans="1:12" x14ac:dyDescent="0.3">
      <c r="A155" s="66"/>
      <c r="B155" s="66"/>
      <c r="C155" s="66"/>
      <c r="D155" s="66"/>
      <c r="E155" s="66"/>
      <c r="F155" s="66"/>
      <c r="G155" s="66"/>
      <c r="H155" s="66"/>
      <c r="I155" s="66"/>
      <c r="J155" s="66"/>
      <c r="K155" s="66"/>
      <c r="L155" s="66"/>
    </row>
    <row r="156" spans="1:12" x14ac:dyDescent="0.3">
      <c r="A156" s="66"/>
      <c r="B156" s="66"/>
      <c r="C156" s="66"/>
      <c r="D156" s="66"/>
      <c r="E156" s="66"/>
      <c r="F156" s="66"/>
      <c r="G156" s="66"/>
      <c r="H156" s="66"/>
      <c r="I156" s="66"/>
      <c r="J156" s="66"/>
      <c r="K156" s="66"/>
      <c r="L156" s="66"/>
    </row>
    <row r="157" spans="1:12" x14ac:dyDescent="0.3">
      <c r="A157" s="66"/>
      <c r="B157" s="66"/>
      <c r="C157" s="66"/>
      <c r="D157" s="66"/>
      <c r="E157" s="66"/>
      <c r="F157" s="66"/>
      <c r="G157" s="66"/>
      <c r="H157" s="66"/>
      <c r="I157" s="66"/>
      <c r="J157" s="66"/>
      <c r="K157" s="66"/>
      <c r="L157" s="66"/>
    </row>
    <row r="158" spans="1:12" x14ac:dyDescent="0.3">
      <c r="A158" s="66"/>
      <c r="B158" s="66"/>
      <c r="C158" s="66"/>
      <c r="D158" s="66"/>
      <c r="E158" s="66"/>
      <c r="F158" s="66"/>
      <c r="G158" s="66"/>
      <c r="H158" s="66"/>
      <c r="I158" s="66"/>
      <c r="J158" s="66"/>
      <c r="K158" s="66"/>
      <c r="L158" s="66"/>
    </row>
    <row r="159" spans="1:12" x14ac:dyDescent="0.3">
      <c r="A159" s="66"/>
      <c r="B159" s="66"/>
      <c r="C159" s="66"/>
      <c r="D159" s="66"/>
      <c r="E159" s="66"/>
      <c r="F159" s="66"/>
      <c r="G159" s="66"/>
      <c r="H159" s="66"/>
      <c r="I159" s="66"/>
      <c r="J159" s="66"/>
      <c r="K159" s="66"/>
      <c r="L159" s="66"/>
    </row>
    <row r="160" spans="1:12" x14ac:dyDescent="0.3">
      <c r="A160" s="66"/>
      <c r="B160" s="66"/>
      <c r="C160" s="66"/>
      <c r="D160" s="66"/>
      <c r="E160" s="66"/>
      <c r="F160" s="66"/>
      <c r="G160" s="66"/>
      <c r="H160" s="66"/>
      <c r="I160" s="66"/>
      <c r="J160" s="66"/>
      <c r="K160" s="66"/>
      <c r="L160" s="66"/>
    </row>
    <row r="161" spans="1:12" x14ac:dyDescent="0.3">
      <c r="A161" s="66"/>
      <c r="B161" s="66"/>
      <c r="C161" s="66"/>
      <c r="D161" s="66"/>
      <c r="E161" s="66"/>
      <c r="F161" s="66"/>
      <c r="G161" s="66"/>
      <c r="H161" s="66"/>
      <c r="I161" s="66"/>
      <c r="J161" s="66"/>
      <c r="K161" s="66"/>
      <c r="L161" s="66"/>
    </row>
    <row r="162" spans="1:12" x14ac:dyDescent="0.3">
      <c r="A162" s="66"/>
      <c r="B162" s="66"/>
      <c r="C162" s="66"/>
      <c r="D162" s="66"/>
      <c r="E162" s="66"/>
      <c r="F162" s="66"/>
      <c r="G162" s="66"/>
      <c r="H162" s="66"/>
      <c r="I162" s="66"/>
      <c r="J162" s="66"/>
      <c r="K162" s="66"/>
      <c r="L162" s="66"/>
    </row>
    <row r="163" spans="1:12" x14ac:dyDescent="0.3">
      <c r="A163" s="66"/>
      <c r="B163" s="66"/>
      <c r="C163" s="66"/>
      <c r="D163" s="66"/>
      <c r="E163" s="66"/>
      <c r="F163" s="66"/>
      <c r="G163" s="66"/>
      <c r="H163" s="66"/>
      <c r="I163" s="66"/>
      <c r="J163" s="66"/>
      <c r="K163" s="66"/>
      <c r="L163" s="66"/>
    </row>
    <row r="164" spans="1:12" x14ac:dyDescent="0.3">
      <c r="A164" s="66"/>
      <c r="B164" s="66"/>
      <c r="C164" s="66"/>
      <c r="D164" s="66"/>
      <c r="E164" s="66"/>
      <c r="F164" s="66"/>
      <c r="G164" s="66"/>
      <c r="H164" s="66"/>
      <c r="I164" s="66"/>
      <c r="J164" s="66"/>
      <c r="K164" s="66"/>
      <c r="L164" s="66"/>
    </row>
    <row r="165" spans="1:12" x14ac:dyDescent="0.3">
      <c r="A165" s="66"/>
      <c r="B165" s="66"/>
      <c r="C165" s="66"/>
      <c r="D165" s="66"/>
      <c r="E165" s="66"/>
      <c r="F165" s="66"/>
      <c r="G165" s="66"/>
      <c r="H165" s="66"/>
      <c r="I165" s="66"/>
      <c r="J165" s="66"/>
      <c r="K165" s="66"/>
      <c r="L165" s="66"/>
    </row>
    <row r="166" spans="1:12" x14ac:dyDescent="0.3">
      <c r="A166" s="66"/>
      <c r="B166" s="66"/>
      <c r="C166" s="66"/>
      <c r="D166" s="66"/>
      <c r="E166" s="66"/>
      <c r="F166" s="66"/>
      <c r="G166" s="66"/>
      <c r="H166" s="66"/>
      <c r="I166" s="66"/>
      <c r="J166" s="66"/>
      <c r="K166" s="66"/>
      <c r="L166" s="66"/>
    </row>
    <row r="167" spans="1:12" x14ac:dyDescent="0.3">
      <c r="A167" s="66"/>
      <c r="B167" s="66"/>
      <c r="C167" s="66"/>
      <c r="D167" s="66"/>
      <c r="E167" s="66"/>
      <c r="F167" s="66"/>
      <c r="G167" s="66"/>
      <c r="H167" s="66"/>
      <c r="I167" s="66"/>
      <c r="J167" s="66"/>
      <c r="K167" s="66"/>
      <c r="L167" s="66"/>
    </row>
    <row r="168" spans="1:12" x14ac:dyDescent="0.3">
      <c r="A168" s="66"/>
      <c r="B168" s="66"/>
      <c r="C168" s="66"/>
      <c r="D168" s="66"/>
      <c r="E168" s="66"/>
      <c r="F168" s="66"/>
      <c r="G168" s="66"/>
      <c r="H168" s="66"/>
      <c r="I168" s="66"/>
      <c r="J168" s="66"/>
      <c r="K168" s="66"/>
      <c r="L168" s="66"/>
    </row>
    <row r="169" spans="1:12" x14ac:dyDescent="0.3">
      <c r="A169" s="66"/>
      <c r="B169" s="66"/>
      <c r="C169" s="66"/>
      <c r="D169" s="66"/>
      <c r="E169" s="66"/>
      <c r="F169" s="66"/>
      <c r="G169" s="66"/>
      <c r="H169" s="66"/>
      <c r="I169" s="66"/>
      <c r="J169" s="66"/>
      <c r="K169" s="66"/>
      <c r="L169" s="66"/>
    </row>
    <row r="170" spans="1:12" x14ac:dyDescent="0.3">
      <c r="A170" s="66"/>
      <c r="B170" s="66"/>
      <c r="C170" s="66"/>
      <c r="D170" s="66"/>
      <c r="E170" s="66"/>
      <c r="F170" s="66"/>
      <c r="G170" s="66"/>
      <c r="H170" s="66"/>
      <c r="I170" s="66"/>
      <c r="J170" s="66"/>
      <c r="K170" s="66"/>
      <c r="L170" s="66"/>
    </row>
    <row r="171" spans="1:12" x14ac:dyDescent="0.3">
      <c r="A171" s="66"/>
      <c r="B171" s="66"/>
      <c r="C171" s="66"/>
      <c r="D171" s="66"/>
      <c r="E171" s="66"/>
      <c r="F171" s="66"/>
      <c r="G171" s="66"/>
      <c r="H171" s="66"/>
      <c r="I171" s="66"/>
      <c r="J171" s="66"/>
      <c r="K171" s="66"/>
      <c r="L171" s="66"/>
    </row>
    <row r="172" spans="1:12" x14ac:dyDescent="0.3">
      <c r="A172" s="66"/>
      <c r="B172" s="66"/>
      <c r="C172" s="66"/>
      <c r="D172" s="66"/>
      <c r="E172" s="66"/>
      <c r="F172" s="66"/>
      <c r="G172" s="66"/>
      <c r="H172" s="66"/>
      <c r="I172" s="66"/>
      <c r="J172" s="66"/>
      <c r="K172" s="66"/>
      <c r="L172" s="66"/>
    </row>
    <row r="173" spans="1:12" x14ac:dyDescent="0.3">
      <c r="A173" s="66"/>
      <c r="B173" s="66"/>
      <c r="C173" s="66"/>
      <c r="D173" s="66"/>
      <c r="E173" s="66"/>
      <c r="F173" s="66"/>
      <c r="G173" s="66"/>
      <c r="H173" s="66"/>
      <c r="I173" s="66"/>
      <c r="J173" s="66"/>
      <c r="K173" s="66"/>
      <c r="L173" s="66"/>
    </row>
    <row r="174" spans="1:12" x14ac:dyDescent="0.3">
      <c r="A174" s="66"/>
      <c r="B174" s="66"/>
      <c r="C174" s="66"/>
      <c r="D174" s="66"/>
      <c r="E174" s="66"/>
      <c r="F174" s="66"/>
      <c r="G174" s="66"/>
      <c r="H174" s="66"/>
      <c r="I174" s="66"/>
      <c r="J174" s="66"/>
      <c r="K174" s="66"/>
      <c r="L174" s="66"/>
    </row>
    <row r="175" spans="1:12" x14ac:dyDescent="0.3">
      <c r="A175" s="66"/>
      <c r="B175" s="66"/>
      <c r="C175" s="66"/>
      <c r="D175" s="66"/>
      <c r="E175" s="66"/>
      <c r="F175" s="66"/>
      <c r="G175" s="66"/>
      <c r="H175" s="66"/>
      <c r="I175" s="66"/>
      <c r="J175" s="66"/>
      <c r="K175" s="66"/>
      <c r="L175" s="66"/>
    </row>
    <row r="176" spans="1:12" x14ac:dyDescent="0.3">
      <c r="A176" s="66"/>
      <c r="B176" s="66"/>
      <c r="C176" s="66"/>
      <c r="D176" s="66"/>
      <c r="E176" s="66"/>
      <c r="F176" s="66"/>
      <c r="G176" s="66"/>
      <c r="H176" s="66"/>
      <c r="I176" s="66"/>
      <c r="J176" s="66"/>
      <c r="K176" s="66"/>
      <c r="L176" s="66"/>
    </row>
    <row r="177" spans="1:12" x14ac:dyDescent="0.3">
      <c r="A177" s="66"/>
      <c r="B177" s="66"/>
      <c r="C177" s="66"/>
      <c r="D177" s="66"/>
      <c r="E177" s="66"/>
      <c r="F177" s="66"/>
      <c r="G177" s="66"/>
      <c r="H177" s="66"/>
      <c r="I177" s="66"/>
      <c r="J177" s="66"/>
      <c r="K177" s="66"/>
      <c r="L177" s="66"/>
    </row>
    <row r="178" spans="1:12" x14ac:dyDescent="0.3">
      <c r="A178" s="66"/>
      <c r="B178" s="66"/>
      <c r="C178" s="66"/>
      <c r="D178" s="66"/>
      <c r="E178" s="66"/>
      <c r="F178" s="66"/>
      <c r="G178" s="66"/>
      <c r="H178" s="66"/>
      <c r="I178" s="66"/>
      <c r="J178" s="66"/>
      <c r="K178" s="66"/>
      <c r="L178" s="66"/>
    </row>
    <row r="179" spans="1:12" x14ac:dyDescent="0.3">
      <c r="A179" s="66"/>
      <c r="B179" s="66"/>
      <c r="C179" s="66"/>
      <c r="D179" s="66"/>
      <c r="E179" s="66"/>
      <c r="F179" s="66"/>
      <c r="G179" s="66"/>
      <c r="H179" s="66"/>
      <c r="I179" s="66"/>
      <c r="J179" s="66"/>
      <c r="K179" s="66"/>
      <c r="L179" s="66"/>
    </row>
    <row r="180" spans="1:12" x14ac:dyDescent="0.3">
      <c r="A180" s="66"/>
      <c r="B180" s="66"/>
      <c r="C180" s="66"/>
      <c r="D180" s="66"/>
      <c r="E180" s="66"/>
      <c r="F180" s="66"/>
      <c r="G180" s="66"/>
      <c r="H180" s="66"/>
      <c r="I180" s="66"/>
      <c r="J180" s="66"/>
      <c r="K180" s="66"/>
      <c r="L180" s="66"/>
    </row>
    <row r="181" spans="1:12" x14ac:dyDescent="0.3">
      <c r="A181" s="66"/>
      <c r="B181" s="66"/>
      <c r="C181" s="66"/>
      <c r="D181" s="66"/>
      <c r="E181" s="66"/>
      <c r="F181" s="66"/>
      <c r="G181" s="66"/>
      <c r="H181" s="66"/>
      <c r="I181" s="66"/>
      <c r="J181" s="66"/>
      <c r="K181" s="66"/>
      <c r="L181" s="66"/>
    </row>
    <row r="182" spans="1:12" x14ac:dyDescent="0.3">
      <c r="A182" s="66"/>
      <c r="B182" s="66"/>
      <c r="C182" s="66"/>
      <c r="D182" s="66"/>
      <c r="E182" s="66"/>
      <c r="F182" s="66"/>
      <c r="G182" s="66"/>
      <c r="H182" s="66"/>
      <c r="I182" s="66"/>
      <c r="J182" s="66"/>
      <c r="K182" s="66"/>
      <c r="L182" s="66"/>
    </row>
    <row r="183" spans="1:12" x14ac:dyDescent="0.3">
      <c r="A183" s="66"/>
      <c r="B183" s="66"/>
      <c r="C183" s="66"/>
      <c r="D183" s="66"/>
      <c r="E183" s="66"/>
      <c r="F183" s="66"/>
      <c r="G183" s="66"/>
      <c r="H183" s="66"/>
      <c r="I183" s="66"/>
      <c r="J183" s="66"/>
      <c r="K183" s="66"/>
      <c r="L183" s="66"/>
    </row>
    <row r="184" spans="1:12" x14ac:dyDescent="0.3">
      <c r="A184" s="66"/>
      <c r="B184" s="66"/>
      <c r="C184" s="66"/>
      <c r="D184" s="66"/>
      <c r="E184" s="66"/>
      <c r="F184" s="66"/>
      <c r="G184" s="66"/>
      <c r="H184" s="66"/>
      <c r="I184" s="66"/>
      <c r="J184" s="66"/>
      <c r="K184" s="66"/>
      <c r="L184" s="66"/>
    </row>
    <row r="185" spans="1:12" x14ac:dyDescent="0.3">
      <c r="A185" s="66"/>
      <c r="B185" s="66"/>
      <c r="C185" s="66"/>
      <c r="D185" s="66"/>
      <c r="E185" s="66"/>
      <c r="F185" s="66"/>
      <c r="G185" s="66"/>
      <c r="H185" s="66"/>
      <c r="I185" s="66"/>
      <c r="J185" s="66"/>
      <c r="K185" s="66"/>
      <c r="L185" s="66"/>
    </row>
    <row r="186" spans="1:12" x14ac:dyDescent="0.3">
      <c r="A186" s="66"/>
      <c r="B186" s="66"/>
      <c r="C186" s="66"/>
      <c r="D186" s="66"/>
      <c r="E186" s="66"/>
      <c r="F186" s="66"/>
      <c r="G186" s="66"/>
      <c r="H186" s="66"/>
      <c r="I186" s="66"/>
      <c r="J186" s="66"/>
      <c r="K186" s="66"/>
      <c r="L186" s="66"/>
    </row>
    <row r="187" spans="1:12" x14ac:dyDescent="0.3">
      <c r="A187" s="66"/>
      <c r="B187" s="66"/>
      <c r="C187" s="66"/>
      <c r="D187" s="66"/>
      <c r="E187" s="66"/>
      <c r="F187" s="66"/>
      <c r="G187" s="66"/>
      <c r="H187" s="66"/>
      <c r="I187" s="66"/>
      <c r="J187" s="66"/>
      <c r="K187" s="66"/>
      <c r="L187" s="66"/>
    </row>
    <row r="188" spans="1:12" x14ac:dyDescent="0.3">
      <c r="A188" s="66"/>
      <c r="B188" s="66"/>
      <c r="C188" s="66"/>
      <c r="D188" s="66"/>
      <c r="E188" s="66"/>
      <c r="F188" s="66"/>
      <c r="G188" s="66"/>
      <c r="H188" s="66"/>
      <c r="I188" s="66"/>
      <c r="J188" s="66"/>
      <c r="K188" s="66"/>
      <c r="L188" s="66"/>
    </row>
    <row r="189" spans="1:12" x14ac:dyDescent="0.3">
      <c r="A189" s="66"/>
      <c r="B189" s="66"/>
      <c r="C189" s="66"/>
      <c r="D189" s="66"/>
      <c r="E189" s="66"/>
      <c r="F189" s="66"/>
      <c r="G189" s="66"/>
      <c r="H189" s="66"/>
      <c r="I189" s="66"/>
      <c r="J189" s="66"/>
      <c r="K189" s="66"/>
      <c r="L189" s="66"/>
    </row>
    <row r="190" spans="1:12" x14ac:dyDescent="0.3">
      <c r="A190" s="66"/>
      <c r="B190" s="66"/>
      <c r="C190" s="66"/>
      <c r="D190" s="66"/>
      <c r="E190" s="66"/>
      <c r="F190" s="66"/>
      <c r="G190" s="66"/>
      <c r="H190" s="66"/>
      <c r="I190" s="66"/>
      <c r="J190" s="66"/>
      <c r="K190" s="66"/>
      <c r="L190" s="66"/>
    </row>
    <row r="191" spans="1:12" x14ac:dyDescent="0.3">
      <c r="A191" s="66"/>
      <c r="B191" s="66"/>
      <c r="C191" s="66"/>
      <c r="D191" s="66"/>
      <c r="E191" s="66"/>
      <c r="F191" s="66"/>
      <c r="G191" s="66"/>
      <c r="H191" s="66"/>
      <c r="I191" s="66"/>
      <c r="J191" s="66"/>
      <c r="K191" s="66"/>
      <c r="L191" s="66"/>
    </row>
    <row r="192" spans="1:12" x14ac:dyDescent="0.3">
      <c r="A192" s="66"/>
      <c r="B192" s="66"/>
      <c r="C192" s="66"/>
      <c r="D192" s="66"/>
      <c r="E192" s="66"/>
      <c r="F192" s="66"/>
      <c r="G192" s="66"/>
      <c r="H192" s="66"/>
      <c r="I192" s="66"/>
      <c r="J192" s="66"/>
      <c r="K192" s="66"/>
      <c r="L192" s="66"/>
    </row>
    <row r="193" spans="1:12" x14ac:dyDescent="0.3">
      <c r="A193" s="66"/>
      <c r="B193" s="66"/>
      <c r="C193" s="66"/>
      <c r="D193" s="66"/>
      <c r="E193" s="66"/>
      <c r="F193" s="66"/>
      <c r="G193" s="66"/>
      <c r="H193" s="66"/>
      <c r="I193" s="66"/>
      <c r="J193" s="66"/>
      <c r="K193" s="66"/>
      <c r="L193" s="66"/>
    </row>
    <row r="194" spans="1:12" x14ac:dyDescent="0.3">
      <c r="A194" s="66"/>
      <c r="B194" s="66"/>
      <c r="C194" s="66"/>
      <c r="D194" s="66"/>
      <c r="E194" s="66"/>
      <c r="F194" s="66"/>
      <c r="G194" s="66"/>
      <c r="H194" s="66"/>
      <c r="I194" s="66"/>
      <c r="J194" s="66"/>
      <c r="K194" s="66"/>
      <c r="L194" s="66"/>
    </row>
    <row r="195" spans="1:12" x14ac:dyDescent="0.3">
      <c r="A195" s="66"/>
      <c r="B195" s="66"/>
      <c r="C195" s="66"/>
      <c r="D195" s="66"/>
      <c r="E195" s="66"/>
      <c r="F195" s="66"/>
      <c r="G195" s="66"/>
      <c r="H195" s="66"/>
      <c r="I195" s="66"/>
      <c r="J195" s="66"/>
      <c r="K195" s="66"/>
      <c r="L195" s="66"/>
    </row>
    <row r="196" spans="1:12" x14ac:dyDescent="0.3">
      <c r="A196" s="66"/>
      <c r="B196" s="66"/>
      <c r="C196" s="66"/>
      <c r="D196" s="66"/>
      <c r="E196" s="66"/>
      <c r="F196" s="66"/>
      <c r="G196" s="66"/>
      <c r="H196" s="66"/>
      <c r="I196" s="66"/>
      <c r="J196" s="66"/>
      <c r="K196" s="66"/>
      <c r="L196" s="66"/>
    </row>
    <row r="197" spans="1:12" x14ac:dyDescent="0.3">
      <c r="A197" s="66"/>
      <c r="B197" s="66"/>
      <c r="C197" s="66"/>
      <c r="D197" s="66"/>
      <c r="E197" s="66"/>
      <c r="F197" s="66"/>
      <c r="G197" s="66"/>
      <c r="H197" s="66"/>
      <c r="I197" s="66"/>
      <c r="J197" s="66"/>
      <c r="K197" s="66"/>
      <c r="L197" s="66"/>
    </row>
    <row r="198" spans="1:12" x14ac:dyDescent="0.3">
      <c r="A198" s="66"/>
      <c r="B198" s="66"/>
      <c r="C198" s="66"/>
      <c r="D198" s="66"/>
      <c r="E198" s="66"/>
      <c r="F198" s="66"/>
      <c r="G198" s="66"/>
      <c r="H198" s="66"/>
      <c r="I198" s="66"/>
      <c r="J198" s="66"/>
      <c r="K198" s="66"/>
      <c r="L198" s="66"/>
    </row>
    <row r="199" spans="1:12" x14ac:dyDescent="0.3">
      <c r="A199" s="66"/>
      <c r="B199" s="66"/>
      <c r="C199" s="66"/>
      <c r="D199" s="66"/>
      <c r="E199" s="66"/>
      <c r="F199" s="66"/>
      <c r="G199" s="66"/>
      <c r="H199" s="66"/>
      <c r="I199" s="66"/>
      <c r="J199" s="66"/>
      <c r="K199" s="66"/>
      <c r="L199" s="66"/>
    </row>
    <row r="200" spans="1:12" x14ac:dyDescent="0.3">
      <c r="A200" s="66"/>
      <c r="B200" s="66"/>
      <c r="C200" s="66"/>
      <c r="D200" s="66"/>
      <c r="E200" s="66"/>
      <c r="F200" s="66"/>
      <c r="G200" s="66"/>
      <c r="H200" s="66"/>
      <c r="I200" s="66"/>
      <c r="J200" s="66"/>
      <c r="K200" s="66"/>
      <c r="L200" s="66"/>
    </row>
    <row r="201" spans="1:12" x14ac:dyDescent="0.3">
      <c r="A201" s="66"/>
      <c r="B201" s="66"/>
      <c r="C201" s="66"/>
      <c r="D201" s="66"/>
      <c r="E201" s="66"/>
      <c r="F201" s="66"/>
      <c r="G201" s="66"/>
      <c r="H201" s="66"/>
      <c r="I201" s="66"/>
      <c r="J201" s="66"/>
      <c r="K201" s="66"/>
      <c r="L201" s="66"/>
    </row>
    <row r="202" spans="1:12" x14ac:dyDescent="0.3">
      <c r="A202" s="66"/>
      <c r="B202" s="66"/>
      <c r="C202" s="66"/>
      <c r="D202" s="66"/>
      <c r="E202" s="66"/>
      <c r="F202" s="66"/>
      <c r="G202" s="66"/>
      <c r="H202" s="66"/>
      <c r="I202" s="66"/>
      <c r="J202" s="66"/>
      <c r="K202" s="66"/>
      <c r="L202" s="66"/>
    </row>
    <row r="203" spans="1:12" x14ac:dyDescent="0.3">
      <c r="A203" s="66"/>
      <c r="B203" s="66"/>
      <c r="C203" s="66"/>
      <c r="D203" s="66"/>
      <c r="E203" s="66"/>
      <c r="F203" s="66"/>
      <c r="G203" s="66"/>
      <c r="H203" s="66"/>
      <c r="I203" s="66"/>
      <c r="J203" s="66"/>
      <c r="K203" s="66"/>
      <c r="L203" s="66"/>
    </row>
    <row r="204" spans="1:12" x14ac:dyDescent="0.3">
      <c r="A204" s="66"/>
      <c r="B204" s="66"/>
      <c r="C204" s="66"/>
      <c r="D204" s="66"/>
      <c r="E204" s="66"/>
      <c r="F204" s="66"/>
      <c r="G204" s="66"/>
      <c r="H204" s="66"/>
      <c r="I204" s="66"/>
      <c r="J204" s="66"/>
      <c r="K204" s="66"/>
      <c r="L204" s="66"/>
    </row>
    <row r="205" spans="1:12" x14ac:dyDescent="0.3">
      <c r="A205" s="66"/>
      <c r="B205" s="66"/>
      <c r="C205" s="66"/>
      <c r="D205" s="66"/>
      <c r="E205" s="66"/>
      <c r="F205" s="66"/>
      <c r="G205" s="66"/>
      <c r="H205" s="66"/>
      <c r="I205" s="66"/>
      <c r="J205" s="66"/>
      <c r="K205" s="66"/>
      <c r="L205" s="66"/>
    </row>
    <row r="206" spans="1:12" x14ac:dyDescent="0.3">
      <c r="A206" s="66"/>
      <c r="B206" s="66"/>
      <c r="C206" s="66"/>
      <c r="D206" s="66"/>
      <c r="E206" s="66"/>
      <c r="F206" s="66"/>
      <c r="G206" s="66"/>
      <c r="H206" s="66"/>
      <c r="I206" s="66"/>
      <c r="J206" s="66"/>
      <c r="K206" s="66"/>
      <c r="L206" s="66"/>
    </row>
    <row r="207" spans="1:12" x14ac:dyDescent="0.3">
      <c r="A207" s="66"/>
      <c r="B207" s="66"/>
      <c r="C207" s="66"/>
      <c r="D207" s="66"/>
      <c r="E207" s="66"/>
      <c r="F207" s="66"/>
      <c r="G207" s="66"/>
      <c r="H207" s="66"/>
      <c r="I207" s="66"/>
      <c r="J207" s="66"/>
      <c r="K207" s="66"/>
      <c r="L207" s="66"/>
    </row>
    <row r="208" spans="1:12" x14ac:dyDescent="0.3">
      <c r="A208" s="66"/>
      <c r="B208" s="66"/>
      <c r="C208" s="66"/>
      <c r="D208" s="66"/>
      <c r="E208" s="66"/>
      <c r="F208" s="66"/>
      <c r="G208" s="66"/>
      <c r="H208" s="66"/>
      <c r="I208" s="66"/>
      <c r="J208" s="66"/>
      <c r="K208" s="66"/>
      <c r="L208" s="66"/>
    </row>
    <row r="209" spans="1:12" x14ac:dyDescent="0.3">
      <c r="A209" s="66"/>
      <c r="B209" s="66"/>
      <c r="C209" s="66"/>
      <c r="D209" s="66"/>
      <c r="E209" s="66"/>
      <c r="F209" s="66"/>
      <c r="G209" s="66"/>
      <c r="H209" s="66"/>
      <c r="I209" s="66"/>
      <c r="J209" s="66"/>
      <c r="K209" s="66"/>
      <c r="L209" s="66"/>
    </row>
    <row r="210" spans="1:12" x14ac:dyDescent="0.3">
      <c r="A210" s="66"/>
      <c r="B210" s="66"/>
      <c r="C210" s="66"/>
      <c r="D210" s="66"/>
      <c r="E210" s="66"/>
      <c r="F210" s="66"/>
      <c r="G210" s="66"/>
      <c r="H210" s="66"/>
      <c r="I210" s="66"/>
      <c r="J210" s="66"/>
      <c r="K210" s="66"/>
      <c r="L210" s="66"/>
    </row>
    <row r="211" spans="1:12" x14ac:dyDescent="0.3">
      <c r="A211" s="66"/>
      <c r="B211" s="66"/>
      <c r="C211" s="66"/>
      <c r="D211" s="66"/>
      <c r="E211" s="66"/>
      <c r="F211" s="66"/>
      <c r="G211" s="66"/>
      <c r="H211" s="66"/>
      <c r="I211" s="66"/>
      <c r="J211" s="66"/>
      <c r="K211" s="66"/>
      <c r="L211" s="66"/>
    </row>
    <row r="212" spans="1:12" x14ac:dyDescent="0.3">
      <c r="A212" s="66"/>
      <c r="B212" s="66"/>
      <c r="C212" s="66"/>
      <c r="D212" s="66"/>
      <c r="E212" s="66"/>
      <c r="F212" s="66"/>
      <c r="G212" s="66"/>
      <c r="H212" s="66"/>
      <c r="I212" s="66"/>
      <c r="J212" s="66"/>
      <c r="K212" s="66"/>
      <c r="L212" s="66"/>
    </row>
    <row r="213" spans="1:12" x14ac:dyDescent="0.3">
      <c r="A213" s="66"/>
      <c r="B213" s="66"/>
      <c r="C213" s="66"/>
      <c r="D213" s="66"/>
      <c r="E213" s="66"/>
      <c r="F213" s="66"/>
      <c r="G213" s="66"/>
      <c r="H213" s="66"/>
      <c r="I213" s="66"/>
      <c r="J213" s="66"/>
      <c r="K213" s="66"/>
      <c r="L213" s="66"/>
    </row>
  </sheetData>
  <mergeCells count="30">
    <mergeCell ref="AL3:AO3"/>
    <mergeCell ref="AP3:AS3"/>
    <mergeCell ref="M5:O5"/>
    <mergeCell ref="Z3:AC3"/>
    <mergeCell ref="AD3:AG3"/>
    <mergeCell ref="AH3:AK3"/>
    <mergeCell ref="S3:U3"/>
    <mergeCell ref="V3:W3"/>
    <mergeCell ref="V1:W2"/>
    <mergeCell ref="P1:Q2"/>
    <mergeCell ref="R1:S2"/>
    <mergeCell ref="T1:U2"/>
    <mergeCell ref="A1:A2"/>
    <mergeCell ref="C1:D2"/>
    <mergeCell ref="E1:F2"/>
    <mergeCell ref="G1:H2"/>
    <mergeCell ref="I1:J2"/>
    <mergeCell ref="K1:L2"/>
    <mergeCell ref="M1:N2"/>
    <mergeCell ref="X1:Y2"/>
    <mergeCell ref="Z1:AA2"/>
    <mergeCell ref="AB1:AC2"/>
    <mergeCell ref="AD1:AE2"/>
    <mergeCell ref="AF1:AG2"/>
    <mergeCell ref="AR1:AS2"/>
    <mergeCell ref="AH1:AI2"/>
    <mergeCell ref="AJ1:AK2"/>
    <mergeCell ref="AL1:AM2"/>
    <mergeCell ref="AN1:AO2"/>
    <mergeCell ref="AP1:AQ2"/>
  </mergeCells>
  <conditionalFormatting sqref="B39 B47">
    <cfRule type="cellIs" dxfId="17" priority="32" operator="lessThan">
      <formula>0</formula>
    </cfRule>
  </conditionalFormatting>
  <conditionalFormatting sqref="B40">
    <cfRule type="cellIs" dxfId="16" priority="31" operator="lessThan">
      <formula>0</formula>
    </cfRule>
  </conditionalFormatting>
  <conditionalFormatting sqref="B41">
    <cfRule type="cellIs" dxfId="15" priority="29" operator="lessThan">
      <formula>0</formula>
    </cfRule>
  </conditionalFormatting>
  <conditionalFormatting sqref="B42">
    <cfRule type="cellIs" dxfId="14" priority="28" operator="lessThan">
      <formula>0</formula>
    </cfRule>
  </conditionalFormatting>
  <conditionalFormatting sqref="B45">
    <cfRule type="cellIs" dxfId="13" priority="27" operator="lessThan">
      <formula>0</formula>
    </cfRule>
  </conditionalFormatting>
  <conditionalFormatting sqref="B46">
    <cfRule type="cellIs" dxfId="12" priority="26" operator="lessThan">
      <formula>0</formula>
    </cfRule>
  </conditionalFormatting>
  <conditionalFormatting sqref="B43">
    <cfRule type="cellIs" dxfId="11" priority="15" operator="lessThan">
      <formula>0</formula>
    </cfRule>
  </conditionalFormatting>
  <conditionalFormatting sqref="B48">
    <cfRule type="cellIs" dxfId="10" priority="8" operator="lessThan">
      <formula>0</formula>
    </cfRule>
  </conditionalFormatting>
  <conditionalFormatting sqref="D44">
    <cfRule type="cellIs" dxfId="9" priority="6" operator="lessThan">
      <formula>0</formula>
    </cfRule>
  </conditionalFormatting>
  <conditionalFormatting sqref="D43">
    <cfRule type="cellIs" dxfId="8" priority="5" operator="lessThan">
      <formula>0</formula>
    </cfRule>
  </conditionalFormatting>
  <conditionalFormatting sqref="D48">
    <cfRule type="cellIs" dxfId="7" priority="4" operator="lessThan">
      <formula>0</formula>
    </cfRule>
  </conditionalFormatting>
  <conditionalFormatting sqref="D41">
    <cfRule type="cellIs" dxfId="6" priority="3" operator="lessThan">
      <formula>0</formula>
    </cfRule>
  </conditionalFormatting>
  <conditionalFormatting sqref="B44">
    <cfRule type="cellIs" dxfId="5" priority="1" operator="lessThan">
      <formula>0</formula>
    </cfRule>
  </conditionalFormatting>
  <pageMargins left="0.7" right="0.7" top="0.78740157499999996" bottom="0.78740157499999996" header="0.3" footer="0.3"/>
  <pageSetup orientation="portrait" r:id="rId1"/>
  <ignoredErrors>
    <ignoredError sqref="A1:B1 Y19 A39:X39 A7:A10 C20:V22 C19:U19 C24:V24 C23:U23 C9:V11 A36:V38 Y20:XFD25 Y7:XFD12 C25:U25 A35:U35 A55:B56 A48 A31 C31:U34 Y31:XFD38 AT30:XFD30 A42:B42 A41 C41 A45:B45 Y14:XFD18 Z13:XFD13 C13:V18 C12:U12 C7:U8 A43:A44 A40:C40 E40:X49 A4:XFD6 A3:B3 X3:XFD3 A49:B49 AT50:XFD50 V50:X50 AA19:XFD19 A33 G3 I3 K3 M3 O3 Q3:U3 A2:B2 AT1:XFD2 A14:A29 A60:B60 B57:B59 A46 Y27:XFD29 Y26 AT26:XFD26 C27:U29 C26:R26 Z39:XFD49 Z52:XFD53 C52:X53 C50:R50 C54:XFD60 A51:B53 A62:B1048576 B61 C62:XFD1048576 C61:Y61 AT61:XFD61" formula="1"/>
    <ignoredError sqref="V19 V23 V7 B7 B8:B14 B23 B24:B34 B19 B20:B22 W9:X11 W24:X29 W20:X22 X7 W23:X23 W35:X38 X19 W7 W19 V35 V25:V29 W31:X34 V31:V34 B16:B18 W13:X18" formula="1" formulaRange="1"/>
    <ignoredError sqref="V8"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9EEF1-CAD1-41BB-B211-C6E662877C05}">
  <sheetPr codeName="Worksheet____6">
    <tabColor rgb="FF001B50"/>
  </sheetPr>
  <dimension ref="A1:CO44"/>
  <sheetViews>
    <sheetView showGridLines="0" zoomScale="85" zoomScaleNormal="85" workbookViewId="0">
      <pane xSplit="3" ySplit="4" topLeftCell="AZ5" activePane="bottomRight" state="frozen"/>
      <selection pane="topRight" activeCell="D1" sqref="D1"/>
      <selection pane="bottomLeft" activeCell="A5" sqref="A5"/>
      <selection pane="bottomRight" activeCell="BB12" sqref="BB12:BE12"/>
    </sheetView>
  </sheetViews>
  <sheetFormatPr baseColWidth="10" defaultColWidth="11.44140625" defaultRowHeight="14.4" outlineLevelRow="1" outlineLevelCol="2" x14ac:dyDescent="0.3"/>
  <cols>
    <col min="1" max="1" width="54.88671875" bestFit="1" customWidth="1"/>
    <col min="2" max="2" width="13.5546875" bestFit="1" customWidth="1"/>
    <col min="3" max="3" width="7.88671875" bestFit="1" customWidth="1"/>
    <col min="4" max="4" width="8.33203125" customWidth="1" outlineLevel="1"/>
    <col min="5" max="5" width="13.5546875" customWidth="1" outlineLevel="1"/>
    <col min="6" max="9" width="13" customWidth="1" outlineLevel="1"/>
    <col min="10" max="50" width="13.6640625" customWidth="1" outlineLevel="1"/>
    <col min="51" max="61" width="14.88671875" customWidth="1" outlineLevel="1"/>
    <col min="62" max="62" width="3.44140625" customWidth="1"/>
    <col min="63" max="63" width="7.88671875" hidden="1" customWidth="1" outlineLevel="2"/>
    <col min="64" max="64" width="9.109375" hidden="1" customWidth="1" outlineLevel="2"/>
    <col min="65" max="65" width="9.44140625" hidden="1" customWidth="1" outlineLevel="2"/>
    <col min="66" max="66" width="8.88671875" hidden="1" customWidth="1" outlineLevel="2"/>
    <col min="67" max="67" width="11.6640625" customWidth="1" collapsed="1"/>
    <col min="68" max="68" width="13.88671875" customWidth="1" outlineLevel="1"/>
    <col min="69" max="70" width="14.33203125" customWidth="1" outlineLevel="1"/>
    <col min="71" max="71" width="13.88671875" customWidth="1" outlineLevel="1"/>
    <col min="72" max="72" width="14.88671875" style="141" bestFit="1" customWidth="1"/>
    <col min="73" max="76" width="13.88671875" customWidth="1" outlineLevel="1"/>
    <col min="77" max="77" width="14.88671875" bestFit="1" customWidth="1"/>
    <col min="78" max="81" width="14.88671875" customWidth="1" outlineLevel="1"/>
    <col min="82" max="82" width="14.88671875" bestFit="1" customWidth="1"/>
    <col min="83" max="86" width="14.88671875" customWidth="1" outlineLevel="1"/>
    <col min="87" max="87" width="14.88671875" bestFit="1" customWidth="1"/>
    <col min="88" max="91" width="14.88671875" customWidth="1" outlineLevel="1"/>
    <col min="92" max="92" width="17.5546875" customWidth="1"/>
    <col min="93" max="94" width="14" bestFit="1" customWidth="1"/>
    <col min="95" max="101" width="15.5546875" bestFit="1" customWidth="1"/>
  </cols>
  <sheetData>
    <row r="1" spans="1:93" x14ac:dyDescent="0.3">
      <c r="A1" s="639" t="s">
        <v>141</v>
      </c>
      <c r="B1" s="147">
        <v>2017</v>
      </c>
      <c r="C1" s="147">
        <v>2017</v>
      </c>
      <c r="D1" s="147">
        <v>2017</v>
      </c>
      <c r="E1" s="148">
        <v>2018</v>
      </c>
      <c r="F1" s="147">
        <v>2018</v>
      </c>
      <c r="G1" s="147">
        <v>2018</v>
      </c>
      <c r="H1" s="147">
        <v>2018</v>
      </c>
      <c r="I1" s="147">
        <v>2018</v>
      </c>
      <c r="J1" s="147">
        <v>2018</v>
      </c>
      <c r="K1" s="147">
        <v>2018</v>
      </c>
      <c r="L1" s="147">
        <v>2018</v>
      </c>
      <c r="M1" s="147">
        <v>2018</v>
      </c>
      <c r="N1" s="147">
        <v>2018</v>
      </c>
      <c r="O1" s="147">
        <v>2018</v>
      </c>
      <c r="P1" s="147">
        <v>2018</v>
      </c>
      <c r="Q1" s="147">
        <v>2019</v>
      </c>
      <c r="R1" s="147">
        <v>2019</v>
      </c>
      <c r="S1" s="147">
        <v>2019</v>
      </c>
      <c r="T1" s="147">
        <v>2019</v>
      </c>
      <c r="U1" s="147">
        <v>2019</v>
      </c>
      <c r="V1" s="147">
        <v>2019</v>
      </c>
      <c r="W1" s="147">
        <v>2019</v>
      </c>
      <c r="X1" s="147">
        <v>2019</v>
      </c>
      <c r="Y1" s="147">
        <v>2019</v>
      </c>
      <c r="Z1" s="147">
        <v>2019</v>
      </c>
      <c r="AA1" s="147">
        <v>2019</v>
      </c>
      <c r="AB1" s="147">
        <v>2019</v>
      </c>
      <c r="AC1" s="147">
        <v>2020</v>
      </c>
      <c r="AD1" s="147">
        <v>2020</v>
      </c>
      <c r="AE1" s="147">
        <v>2020</v>
      </c>
      <c r="AF1" s="147">
        <v>2020</v>
      </c>
      <c r="AG1" s="147">
        <v>2020</v>
      </c>
      <c r="AH1" s="147">
        <v>2020</v>
      </c>
      <c r="AI1" s="147">
        <v>2020</v>
      </c>
      <c r="AJ1" s="147">
        <v>2020</v>
      </c>
      <c r="AK1" s="147">
        <v>2020</v>
      </c>
      <c r="AL1" s="147">
        <v>2020</v>
      </c>
      <c r="AM1" s="147">
        <v>2020</v>
      </c>
      <c r="AN1" s="147">
        <v>2020</v>
      </c>
      <c r="AO1" s="147">
        <v>2021</v>
      </c>
      <c r="AP1" s="147">
        <v>2021</v>
      </c>
      <c r="AQ1" s="147">
        <v>2021</v>
      </c>
      <c r="AR1" s="147">
        <v>2021</v>
      </c>
      <c r="AS1" s="147">
        <v>2021</v>
      </c>
      <c r="AT1" s="147">
        <v>2021</v>
      </c>
      <c r="AU1" s="147">
        <v>2021</v>
      </c>
      <c r="AV1" s="147">
        <v>2021</v>
      </c>
      <c r="AW1" s="147">
        <v>2021</v>
      </c>
      <c r="AX1" s="147">
        <v>2021</v>
      </c>
      <c r="AY1" s="147">
        <v>2021</v>
      </c>
      <c r="AZ1" s="147">
        <v>2021</v>
      </c>
      <c r="BA1" s="147">
        <v>2022</v>
      </c>
      <c r="BB1" s="147">
        <v>2022</v>
      </c>
      <c r="BC1" s="147">
        <v>2022</v>
      </c>
      <c r="BD1" s="147">
        <v>2022</v>
      </c>
      <c r="BE1" s="147">
        <v>2022</v>
      </c>
      <c r="BF1" s="147">
        <v>2022</v>
      </c>
      <c r="BG1" s="147">
        <v>2022</v>
      </c>
      <c r="BH1" s="147">
        <v>2022</v>
      </c>
      <c r="BI1" s="147">
        <v>2022</v>
      </c>
      <c r="BJ1" s="163"/>
      <c r="BK1" s="154"/>
    </row>
    <row r="2" spans="1:93" ht="15" thickBot="1" x14ac:dyDescent="0.35">
      <c r="A2" s="639"/>
      <c r="B2" s="146">
        <f t="shared" ref="B2:BG2" si="0">IF(C3=B3,0,1)</f>
        <v>0</v>
      </c>
      <c r="C2" s="146">
        <f>IF(D3=C3,0,1)</f>
        <v>1</v>
      </c>
      <c r="D2" s="146">
        <f t="shared" si="0"/>
        <v>1</v>
      </c>
      <c r="E2" s="146">
        <f t="shared" si="0"/>
        <v>0</v>
      </c>
      <c r="F2" s="146">
        <f t="shared" si="0"/>
        <v>0</v>
      </c>
      <c r="G2" s="146">
        <f t="shared" si="0"/>
        <v>1</v>
      </c>
      <c r="H2" s="146">
        <f t="shared" si="0"/>
        <v>0</v>
      </c>
      <c r="I2" s="146">
        <f t="shared" si="0"/>
        <v>0</v>
      </c>
      <c r="J2" s="146">
        <f t="shared" si="0"/>
        <v>1</v>
      </c>
      <c r="K2" s="146">
        <f t="shared" si="0"/>
        <v>0</v>
      </c>
      <c r="L2" s="146">
        <f t="shared" si="0"/>
        <v>0</v>
      </c>
      <c r="M2" s="146">
        <f t="shared" si="0"/>
        <v>1</v>
      </c>
      <c r="N2" s="146">
        <f t="shared" si="0"/>
        <v>0</v>
      </c>
      <c r="O2" s="146">
        <f t="shared" si="0"/>
        <v>0</v>
      </c>
      <c r="P2" s="146">
        <f t="shared" si="0"/>
        <v>1</v>
      </c>
      <c r="Q2" s="146">
        <f t="shared" si="0"/>
        <v>0</v>
      </c>
      <c r="R2" s="146">
        <f t="shared" si="0"/>
        <v>0</v>
      </c>
      <c r="S2" s="146">
        <f t="shared" si="0"/>
        <v>1</v>
      </c>
      <c r="T2" s="146">
        <f t="shared" si="0"/>
        <v>0</v>
      </c>
      <c r="U2" s="146">
        <f t="shared" si="0"/>
        <v>0</v>
      </c>
      <c r="V2" s="146">
        <f t="shared" si="0"/>
        <v>1</v>
      </c>
      <c r="W2" s="146">
        <f t="shared" si="0"/>
        <v>0</v>
      </c>
      <c r="X2" s="146">
        <f t="shared" si="0"/>
        <v>0</v>
      </c>
      <c r="Y2" s="146">
        <f t="shared" si="0"/>
        <v>1</v>
      </c>
      <c r="Z2" s="146">
        <f t="shared" si="0"/>
        <v>0</v>
      </c>
      <c r="AA2" s="146">
        <f t="shared" si="0"/>
        <v>0</v>
      </c>
      <c r="AB2" s="146">
        <f t="shared" si="0"/>
        <v>1</v>
      </c>
      <c r="AC2" s="146">
        <f t="shared" si="0"/>
        <v>0</v>
      </c>
      <c r="AD2" s="146">
        <f t="shared" si="0"/>
        <v>0</v>
      </c>
      <c r="AE2" s="146">
        <f t="shared" si="0"/>
        <v>1</v>
      </c>
      <c r="AF2" s="146">
        <f t="shared" si="0"/>
        <v>0</v>
      </c>
      <c r="AG2" s="146">
        <f t="shared" si="0"/>
        <v>0</v>
      </c>
      <c r="AH2" s="146">
        <f t="shared" si="0"/>
        <v>1</v>
      </c>
      <c r="AI2" s="146">
        <f t="shared" si="0"/>
        <v>0</v>
      </c>
      <c r="AJ2" s="146">
        <f t="shared" si="0"/>
        <v>0</v>
      </c>
      <c r="AK2" s="146">
        <f t="shared" si="0"/>
        <v>1</v>
      </c>
      <c r="AL2" s="146">
        <f t="shared" si="0"/>
        <v>0</v>
      </c>
      <c r="AM2" s="146">
        <f t="shared" si="0"/>
        <v>0</v>
      </c>
      <c r="AN2" s="146">
        <f t="shared" si="0"/>
        <v>1</v>
      </c>
      <c r="AO2" s="146">
        <f t="shared" si="0"/>
        <v>0</v>
      </c>
      <c r="AP2" s="146">
        <f t="shared" si="0"/>
        <v>0</v>
      </c>
      <c r="AQ2" s="146">
        <f t="shared" si="0"/>
        <v>1</v>
      </c>
      <c r="AR2" s="146">
        <f t="shared" si="0"/>
        <v>0</v>
      </c>
      <c r="AS2" s="146">
        <f t="shared" si="0"/>
        <v>0</v>
      </c>
      <c r="AT2" s="146">
        <f t="shared" si="0"/>
        <v>1</v>
      </c>
      <c r="AU2" s="146">
        <f t="shared" si="0"/>
        <v>0</v>
      </c>
      <c r="AV2" s="146">
        <f t="shared" si="0"/>
        <v>0</v>
      </c>
      <c r="AW2" s="146">
        <f t="shared" si="0"/>
        <v>1</v>
      </c>
      <c r="AX2" s="146">
        <f t="shared" si="0"/>
        <v>0</v>
      </c>
      <c r="AY2" s="146">
        <f t="shared" si="0"/>
        <v>0</v>
      </c>
      <c r="AZ2" s="146">
        <f t="shared" si="0"/>
        <v>1</v>
      </c>
      <c r="BA2" s="154">
        <f t="shared" si="0"/>
        <v>0</v>
      </c>
      <c r="BB2" s="146">
        <f t="shared" si="0"/>
        <v>0</v>
      </c>
      <c r="BC2" s="146">
        <f t="shared" si="0"/>
        <v>1</v>
      </c>
      <c r="BD2" s="146">
        <f t="shared" si="0"/>
        <v>0</v>
      </c>
      <c r="BE2" s="146">
        <f t="shared" si="0"/>
        <v>0</v>
      </c>
      <c r="BF2" s="146">
        <f t="shared" si="0"/>
        <v>1</v>
      </c>
      <c r="BG2" s="146">
        <f t="shared" si="0"/>
        <v>0</v>
      </c>
      <c r="BH2" s="146">
        <f t="shared" ref="BH2" si="1">IF(BI3=BH3,0,1)</f>
        <v>0</v>
      </c>
      <c r="BI2" s="146" t="e">
        <f>IF(#REF!=BI3,0,1)</f>
        <v>#REF!</v>
      </c>
      <c r="BJ2" s="146"/>
      <c r="BK2" s="154"/>
    </row>
    <row r="3" spans="1:93" s="399" customFormat="1" ht="15.6" x14ac:dyDescent="0.3">
      <c r="A3" s="531"/>
      <c r="B3" s="543"/>
      <c r="C3" s="543"/>
      <c r="D3" s="532" t="s">
        <v>24</v>
      </c>
      <c r="E3" s="532" t="s">
        <v>25</v>
      </c>
      <c r="F3" s="532" t="s">
        <v>25</v>
      </c>
      <c r="G3" s="532" t="s">
        <v>25</v>
      </c>
      <c r="H3" s="532" t="s">
        <v>26</v>
      </c>
      <c r="I3" s="532" t="s">
        <v>26</v>
      </c>
      <c r="J3" s="532" t="s">
        <v>26</v>
      </c>
      <c r="K3" s="532" t="s">
        <v>27</v>
      </c>
      <c r="L3" s="532" t="s">
        <v>27</v>
      </c>
      <c r="M3" s="532" t="s">
        <v>27</v>
      </c>
      <c r="N3" s="532" t="s">
        <v>31</v>
      </c>
      <c r="O3" s="532" t="s">
        <v>31</v>
      </c>
      <c r="P3" s="532" t="s">
        <v>31</v>
      </c>
      <c r="Q3" s="532" t="s">
        <v>30</v>
      </c>
      <c r="R3" s="532" t="s">
        <v>30</v>
      </c>
      <c r="S3" s="532" t="s">
        <v>30</v>
      </c>
      <c r="T3" s="532" t="s">
        <v>29</v>
      </c>
      <c r="U3" s="532" t="s">
        <v>29</v>
      </c>
      <c r="V3" s="532" t="s">
        <v>29</v>
      </c>
      <c r="W3" s="532" t="s">
        <v>28</v>
      </c>
      <c r="X3" s="532" t="s">
        <v>28</v>
      </c>
      <c r="Y3" s="532" t="s">
        <v>28</v>
      </c>
      <c r="Z3" s="532" t="s">
        <v>32</v>
      </c>
      <c r="AA3" s="532" t="s">
        <v>32</v>
      </c>
      <c r="AB3" s="532" t="s">
        <v>32</v>
      </c>
      <c r="AC3" s="532" t="s">
        <v>33</v>
      </c>
      <c r="AD3" s="532" t="s">
        <v>33</v>
      </c>
      <c r="AE3" s="532" t="s">
        <v>33</v>
      </c>
      <c r="AF3" s="532" t="s">
        <v>34</v>
      </c>
      <c r="AG3" s="532" t="s">
        <v>34</v>
      </c>
      <c r="AH3" s="532" t="s">
        <v>34</v>
      </c>
      <c r="AI3" s="532" t="s">
        <v>35</v>
      </c>
      <c r="AJ3" s="532" t="s">
        <v>35</v>
      </c>
      <c r="AK3" s="532" t="s">
        <v>35</v>
      </c>
      <c r="AL3" s="532" t="s">
        <v>36</v>
      </c>
      <c r="AM3" s="532" t="s">
        <v>36</v>
      </c>
      <c r="AN3" s="532" t="s">
        <v>36</v>
      </c>
      <c r="AO3" s="532" t="s">
        <v>37</v>
      </c>
      <c r="AP3" s="532" t="s">
        <v>37</v>
      </c>
      <c r="AQ3" s="532" t="s">
        <v>37</v>
      </c>
      <c r="AR3" s="532" t="s">
        <v>38</v>
      </c>
      <c r="AS3" s="532" t="s">
        <v>38</v>
      </c>
      <c r="AT3" s="532" t="s">
        <v>38</v>
      </c>
      <c r="AU3" s="532" t="s">
        <v>39</v>
      </c>
      <c r="AV3" s="532" t="s">
        <v>39</v>
      </c>
      <c r="AW3" s="532" t="s">
        <v>39</v>
      </c>
      <c r="AX3" s="532" t="s">
        <v>41</v>
      </c>
      <c r="AY3" s="532" t="s">
        <v>41</v>
      </c>
      <c r="AZ3" s="532" t="s">
        <v>41</v>
      </c>
      <c r="BA3" s="532" t="s">
        <v>42</v>
      </c>
      <c r="BB3" s="532" t="s">
        <v>42</v>
      </c>
      <c r="BC3" s="532" t="s">
        <v>42</v>
      </c>
      <c r="BD3" s="532" t="s">
        <v>43</v>
      </c>
      <c r="BE3" s="532" t="s">
        <v>43</v>
      </c>
      <c r="BF3" s="532" t="s">
        <v>43</v>
      </c>
      <c r="BG3" s="532" t="s">
        <v>40</v>
      </c>
      <c r="BH3" s="532" t="s">
        <v>40</v>
      </c>
      <c r="BI3" s="532" t="s">
        <v>40</v>
      </c>
      <c r="BJ3" s="532"/>
      <c r="BK3" s="650">
        <v>2017</v>
      </c>
      <c r="BL3" s="651"/>
      <c r="BM3" s="651"/>
      <c r="BN3" s="651"/>
      <c r="BO3" s="648" t="s">
        <v>9</v>
      </c>
      <c r="BP3" s="651">
        <v>2018</v>
      </c>
      <c r="BQ3" s="651"/>
      <c r="BR3" s="651"/>
      <c r="BS3" s="651"/>
      <c r="BT3" s="648" t="s">
        <v>10</v>
      </c>
      <c r="BU3" s="651">
        <v>2019</v>
      </c>
      <c r="BV3" s="651"/>
      <c r="BW3" s="651"/>
      <c r="BX3" s="651"/>
      <c r="BY3" s="648" t="s">
        <v>11</v>
      </c>
      <c r="BZ3" s="651">
        <v>2020</v>
      </c>
      <c r="CA3" s="651"/>
      <c r="CB3" s="651"/>
      <c r="CC3" s="651"/>
      <c r="CD3" s="648" t="s">
        <v>12</v>
      </c>
      <c r="CE3" s="651">
        <v>2021</v>
      </c>
      <c r="CF3" s="651"/>
      <c r="CG3" s="651"/>
      <c r="CH3" s="651"/>
      <c r="CI3" s="648" t="s">
        <v>22</v>
      </c>
      <c r="CJ3" s="651">
        <v>2022</v>
      </c>
      <c r="CK3" s="651"/>
      <c r="CL3" s="651"/>
      <c r="CM3" s="651"/>
      <c r="CN3" s="648" t="s">
        <v>23</v>
      </c>
    </row>
    <row r="4" spans="1:93" s="399" customFormat="1" ht="15" thickBot="1" x14ac:dyDescent="0.35">
      <c r="A4" s="533"/>
      <c r="B4" s="544"/>
      <c r="C4" s="544"/>
      <c r="D4" s="252">
        <v>43160</v>
      </c>
      <c r="E4" s="252">
        <v>43191</v>
      </c>
      <c r="F4" s="252">
        <v>43221</v>
      </c>
      <c r="G4" s="252">
        <v>43252</v>
      </c>
      <c r="H4" s="252">
        <v>43282</v>
      </c>
      <c r="I4" s="252">
        <v>43313</v>
      </c>
      <c r="J4" s="252">
        <v>43344</v>
      </c>
      <c r="K4" s="252">
        <v>43374</v>
      </c>
      <c r="L4" s="252">
        <v>43405</v>
      </c>
      <c r="M4" s="252">
        <v>43435</v>
      </c>
      <c r="N4" s="252">
        <v>43466</v>
      </c>
      <c r="O4" s="252">
        <v>43497</v>
      </c>
      <c r="P4" s="252">
        <v>43525</v>
      </c>
      <c r="Q4" s="252">
        <v>43556</v>
      </c>
      <c r="R4" s="252">
        <v>43586</v>
      </c>
      <c r="S4" s="252">
        <v>43617</v>
      </c>
      <c r="T4" s="252">
        <v>43647</v>
      </c>
      <c r="U4" s="252">
        <v>43678</v>
      </c>
      <c r="V4" s="252">
        <v>43709</v>
      </c>
      <c r="W4" s="252">
        <v>43739</v>
      </c>
      <c r="X4" s="252">
        <v>43770</v>
      </c>
      <c r="Y4" s="252">
        <v>43800</v>
      </c>
      <c r="Z4" s="252">
        <v>43831</v>
      </c>
      <c r="AA4" s="252">
        <v>43862</v>
      </c>
      <c r="AB4" s="252">
        <v>43891</v>
      </c>
      <c r="AC4" s="252">
        <v>43922</v>
      </c>
      <c r="AD4" s="252">
        <v>43952</v>
      </c>
      <c r="AE4" s="252">
        <v>43983</v>
      </c>
      <c r="AF4" s="252">
        <v>44013</v>
      </c>
      <c r="AG4" s="252">
        <v>44044</v>
      </c>
      <c r="AH4" s="252">
        <v>44075</v>
      </c>
      <c r="AI4" s="252">
        <v>44105</v>
      </c>
      <c r="AJ4" s="252">
        <v>44136</v>
      </c>
      <c r="AK4" s="252">
        <v>44166</v>
      </c>
      <c r="AL4" s="252">
        <v>44197</v>
      </c>
      <c r="AM4" s="252">
        <v>44228</v>
      </c>
      <c r="AN4" s="252">
        <v>44256</v>
      </c>
      <c r="AO4" s="252">
        <v>44287</v>
      </c>
      <c r="AP4" s="252">
        <v>44317</v>
      </c>
      <c r="AQ4" s="252">
        <v>44348</v>
      </c>
      <c r="AR4" s="252">
        <v>44378</v>
      </c>
      <c r="AS4" s="252">
        <v>44409</v>
      </c>
      <c r="AT4" s="252">
        <v>44440</v>
      </c>
      <c r="AU4" s="252">
        <v>44470</v>
      </c>
      <c r="AV4" s="252">
        <v>44501</v>
      </c>
      <c r="AW4" s="252">
        <v>44531</v>
      </c>
      <c r="AX4" s="252">
        <v>44562</v>
      </c>
      <c r="AY4" s="252">
        <v>44593</v>
      </c>
      <c r="AZ4" s="252">
        <v>44621</v>
      </c>
      <c r="BA4" s="252">
        <v>44652</v>
      </c>
      <c r="BB4" s="252">
        <v>44682</v>
      </c>
      <c r="BC4" s="252">
        <v>44713</v>
      </c>
      <c r="BD4" s="252">
        <v>44743</v>
      </c>
      <c r="BE4" s="252">
        <v>44774</v>
      </c>
      <c r="BF4" s="252">
        <v>44805</v>
      </c>
      <c r="BG4" s="252">
        <v>44835</v>
      </c>
      <c r="BH4" s="252">
        <v>44866</v>
      </c>
      <c r="BI4" s="252">
        <v>44896</v>
      </c>
      <c r="BJ4" s="252"/>
      <c r="BK4" s="253" t="s">
        <v>0</v>
      </c>
      <c r="BL4" s="252" t="s">
        <v>1</v>
      </c>
      <c r="BM4" s="252" t="s">
        <v>2</v>
      </c>
      <c r="BN4" s="252" t="s">
        <v>3</v>
      </c>
      <c r="BO4" s="649"/>
      <c r="BP4" s="252" t="s">
        <v>24</v>
      </c>
      <c r="BQ4" s="252" t="s">
        <v>25</v>
      </c>
      <c r="BR4" s="252" t="s">
        <v>26</v>
      </c>
      <c r="BS4" s="252" t="s">
        <v>27</v>
      </c>
      <c r="BT4" s="652"/>
      <c r="BU4" s="252" t="s">
        <v>31</v>
      </c>
      <c r="BV4" s="252" t="s">
        <v>30</v>
      </c>
      <c r="BW4" s="252" t="s">
        <v>29</v>
      </c>
      <c r="BX4" s="252" t="s">
        <v>28</v>
      </c>
      <c r="BY4" s="649"/>
      <c r="BZ4" s="252" t="s">
        <v>32</v>
      </c>
      <c r="CA4" s="252" t="s">
        <v>33</v>
      </c>
      <c r="CB4" s="252" t="s">
        <v>34</v>
      </c>
      <c r="CC4" s="252" t="s">
        <v>35</v>
      </c>
      <c r="CD4" s="649"/>
      <c r="CE4" s="252" t="s">
        <v>36</v>
      </c>
      <c r="CF4" s="252" t="s">
        <v>37</v>
      </c>
      <c r="CG4" s="252" t="s">
        <v>38</v>
      </c>
      <c r="CH4" s="252" t="s">
        <v>39</v>
      </c>
      <c r="CI4" s="649"/>
      <c r="CJ4" s="252" t="s">
        <v>41</v>
      </c>
      <c r="CK4" s="252" t="s">
        <v>42</v>
      </c>
      <c r="CL4" s="252" t="s">
        <v>43</v>
      </c>
      <c r="CM4" s="252" t="s">
        <v>40</v>
      </c>
      <c r="CN4" s="649"/>
    </row>
    <row r="5" spans="1:93" x14ac:dyDescent="0.3">
      <c r="A5" s="534"/>
      <c r="B5" s="138"/>
      <c r="C5" s="138"/>
      <c r="D5" s="138"/>
      <c r="E5" s="112"/>
      <c r="F5" s="112"/>
      <c r="G5" s="112"/>
      <c r="H5" s="112"/>
      <c r="I5" s="112"/>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313"/>
      <c r="BL5" s="155"/>
      <c r="BM5" s="155"/>
      <c r="BN5" s="155"/>
      <c r="BO5" s="239"/>
      <c r="BP5" s="155"/>
      <c r="BQ5" s="155"/>
      <c r="BR5" s="155"/>
      <c r="BS5" s="155"/>
      <c r="BT5" s="239"/>
      <c r="BU5" s="155"/>
      <c r="BV5" s="155"/>
      <c r="BW5" s="155"/>
      <c r="BX5" s="155"/>
      <c r="BY5" s="239"/>
      <c r="BZ5" s="155"/>
      <c r="CA5" s="155"/>
      <c r="CB5" s="155"/>
      <c r="CC5" s="155"/>
      <c r="CD5" s="239"/>
      <c r="CE5" s="155"/>
      <c r="CF5" s="155"/>
      <c r="CG5" s="155"/>
      <c r="CH5" s="155"/>
      <c r="CI5" s="239"/>
      <c r="CJ5" s="155"/>
      <c r="CK5" s="155"/>
      <c r="CL5" s="155"/>
      <c r="CM5" s="155"/>
      <c r="CN5" s="239"/>
      <c r="CO5" s="128"/>
    </row>
    <row r="6" spans="1:93" x14ac:dyDescent="0.3">
      <c r="A6" s="534"/>
      <c r="B6" s="138"/>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138"/>
      <c r="AZ6" s="138"/>
      <c r="BA6" s="138"/>
      <c r="BB6" s="138"/>
      <c r="BC6" s="138"/>
      <c r="BD6" s="138"/>
      <c r="BE6" s="138"/>
      <c r="BF6" s="138"/>
      <c r="BG6" s="138"/>
      <c r="BH6" s="138"/>
      <c r="BI6" s="138"/>
      <c r="BJ6" s="138"/>
      <c r="BK6" s="312"/>
      <c r="BL6" s="155"/>
      <c r="BM6" s="155"/>
      <c r="BN6" s="155"/>
      <c r="BO6" s="239"/>
      <c r="BP6" s="155"/>
      <c r="BQ6" s="155"/>
      <c r="BR6" s="155"/>
      <c r="BS6" s="155"/>
      <c r="BT6" s="239"/>
      <c r="BU6" s="155"/>
      <c r="BV6" s="155"/>
      <c r="BW6" s="155"/>
      <c r="BX6" s="155"/>
      <c r="BY6" s="239"/>
      <c r="BZ6" s="155"/>
      <c r="CA6" s="155"/>
      <c r="CB6" s="155"/>
      <c r="CC6" s="155"/>
      <c r="CD6" s="239"/>
      <c r="CE6" s="155"/>
      <c r="CF6" s="155"/>
      <c r="CG6" s="155"/>
      <c r="CH6" s="155"/>
      <c r="CI6" s="239"/>
      <c r="CJ6" s="155"/>
      <c r="CK6" s="155"/>
      <c r="CL6" s="155"/>
      <c r="CM6" s="155"/>
      <c r="CN6" s="239"/>
      <c r="CO6" s="128"/>
    </row>
    <row r="7" spans="1:93" x14ac:dyDescent="0.3">
      <c r="A7" s="535" t="s">
        <v>118</v>
      </c>
      <c r="B7" s="545"/>
      <c r="C7" s="546"/>
      <c r="D7" s="156">
        <f t="shared" ref="D7:AI7" si="2">D8+D9</f>
        <v>525</v>
      </c>
      <c r="E7" s="156">
        <f t="shared" si="2"/>
        <v>13239</v>
      </c>
      <c r="F7" s="156">
        <f t="shared" si="2"/>
        <v>8875</v>
      </c>
      <c r="G7" s="156">
        <f t="shared" si="2"/>
        <v>8900</v>
      </c>
      <c r="H7" s="156">
        <f t="shared" si="2"/>
        <v>9650</v>
      </c>
      <c r="I7" s="156">
        <f t="shared" si="2"/>
        <v>28150</v>
      </c>
      <c r="J7" s="156">
        <f t="shared" si="2"/>
        <v>28125</v>
      </c>
      <c r="K7" s="156">
        <f t="shared" si="2"/>
        <v>28125</v>
      </c>
      <c r="L7" s="156">
        <f t="shared" si="2"/>
        <v>30375</v>
      </c>
      <c r="M7" s="156">
        <f t="shared" si="2"/>
        <v>28124.999999999993</v>
      </c>
      <c r="N7" s="156">
        <f t="shared" si="2"/>
        <v>29583</v>
      </c>
      <c r="O7" s="156">
        <f t="shared" si="2"/>
        <v>31833</v>
      </c>
      <c r="P7" s="156">
        <f t="shared" si="2"/>
        <v>31083</v>
      </c>
      <c r="Q7" s="156">
        <f t="shared" si="2"/>
        <v>53333</v>
      </c>
      <c r="R7" s="156">
        <f t="shared" si="2"/>
        <v>51832.999999999971</v>
      </c>
      <c r="S7" s="156">
        <f t="shared" si="2"/>
        <v>54082.999999999985</v>
      </c>
      <c r="T7" s="156">
        <f t="shared" si="2"/>
        <v>60333</v>
      </c>
      <c r="U7" s="156">
        <f t="shared" si="2"/>
        <v>79583</v>
      </c>
      <c r="V7" s="156">
        <f t="shared" si="2"/>
        <v>81833</v>
      </c>
      <c r="W7" s="156">
        <f t="shared" si="2"/>
        <v>69583</v>
      </c>
      <c r="X7" s="156">
        <f t="shared" si="2"/>
        <v>79583</v>
      </c>
      <c r="Y7" s="156">
        <f t="shared" si="2"/>
        <v>79583</v>
      </c>
      <c r="Z7" s="156">
        <f t="shared" si="2"/>
        <v>72188.000000000029</v>
      </c>
      <c r="AA7" s="156">
        <f t="shared" si="2"/>
        <v>98438</v>
      </c>
      <c r="AB7" s="156">
        <f t="shared" si="2"/>
        <v>108438</v>
      </c>
      <c r="AC7" s="156">
        <f t="shared" si="2"/>
        <v>112668.99622443167</v>
      </c>
      <c r="AD7" s="156">
        <f t="shared" si="2"/>
        <v>78955.660204253392</v>
      </c>
      <c r="AE7" s="156">
        <f t="shared" si="2"/>
        <v>85302.249622636242</v>
      </c>
      <c r="AF7" s="156">
        <f t="shared" si="2"/>
        <v>92220.032088673441</v>
      </c>
      <c r="AG7" s="156">
        <f t="shared" si="2"/>
        <v>99760.414976654109</v>
      </c>
      <c r="AH7" s="156">
        <f t="shared" si="2"/>
        <v>107979.43232455297</v>
      </c>
      <c r="AI7" s="156">
        <f t="shared" si="2"/>
        <v>116938.16123376274</v>
      </c>
      <c r="AJ7" s="156">
        <f t="shared" ref="AJ7:BI7" si="3">AJ8+AJ9</f>
        <v>126703.17574480129</v>
      </c>
      <c r="AK7" s="156">
        <f t="shared" si="3"/>
        <v>137347.04156183358</v>
      </c>
      <c r="AL7" s="156">
        <f t="shared" si="3"/>
        <v>149364.85530239856</v>
      </c>
      <c r="AM7" s="156">
        <f t="shared" si="3"/>
        <v>162010.83227961441</v>
      </c>
      <c r="AN7" s="156">
        <f t="shared" si="3"/>
        <v>175794.94718477968</v>
      </c>
      <c r="AO7" s="156">
        <f t="shared" si="3"/>
        <v>190819.63243140979</v>
      </c>
      <c r="AP7" s="156">
        <f t="shared" si="3"/>
        <v>207196.53935023677</v>
      </c>
      <c r="AQ7" s="156">
        <f t="shared" si="3"/>
        <v>225047.36789175821</v>
      </c>
      <c r="AR7" s="156">
        <f t="shared" si="3"/>
        <v>244504.7710020165</v>
      </c>
      <c r="AS7" s="156">
        <f t="shared" si="3"/>
        <v>265713.34039219795</v>
      </c>
      <c r="AT7" s="156">
        <f t="shared" si="3"/>
        <v>288830.68102749577</v>
      </c>
      <c r="AU7" s="156">
        <f t="shared" si="3"/>
        <v>314028.58231997024</v>
      </c>
      <c r="AV7" s="156">
        <f t="shared" si="3"/>
        <v>341494.29472876759</v>
      </c>
      <c r="AW7" s="156">
        <f t="shared" si="3"/>
        <v>371431.92125435639</v>
      </c>
      <c r="AX7" s="156">
        <f t="shared" si="3"/>
        <v>403542.9341672489</v>
      </c>
      <c r="AY7" s="156">
        <f t="shared" si="3"/>
        <v>439111.82824230101</v>
      </c>
      <c r="AZ7" s="156">
        <f t="shared" si="3"/>
        <v>477881.92278410774</v>
      </c>
      <c r="BA7" s="156">
        <f t="shared" si="3"/>
        <v>253986.60378240322</v>
      </c>
      <c r="BB7" s="156">
        <f t="shared" si="3"/>
        <v>276095.42812281963</v>
      </c>
      <c r="BC7" s="156">
        <f t="shared" si="3"/>
        <v>300194.04665387364</v>
      </c>
      <c r="BD7" s="156">
        <f t="shared" si="3"/>
        <v>326461.5408527223</v>
      </c>
      <c r="BE7" s="156">
        <f t="shared" si="3"/>
        <v>355093.10952946724</v>
      </c>
      <c r="BF7" s="156">
        <f t="shared" si="3"/>
        <v>386301.51938711933</v>
      </c>
      <c r="BG7" s="156">
        <f t="shared" si="3"/>
        <v>420318.68613195984</v>
      </c>
      <c r="BH7" s="156">
        <f t="shared" si="3"/>
        <v>457397.3978838363</v>
      </c>
      <c r="BI7" s="156">
        <f t="shared" si="3"/>
        <v>497813.19369338115</v>
      </c>
      <c r="BJ7" s="156"/>
      <c r="BK7" s="167"/>
      <c r="BL7" s="157"/>
      <c r="BM7" s="157"/>
      <c r="BN7" s="157">
        <f>SUMIF($B$3:$BI$3,BN$4,$B7:$BI7)</f>
        <v>0</v>
      </c>
      <c r="BO7" s="240">
        <f>SUM(BK7:BN7)</f>
        <v>0</v>
      </c>
      <c r="BP7" s="157">
        <f t="shared" ref="BP7:BS9" si="4">SUMIF($B$3:$BI$3,BP$4,$B7:$BI7)</f>
        <v>525</v>
      </c>
      <c r="BQ7" s="157">
        <f t="shared" si="4"/>
        <v>31014</v>
      </c>
      <c r="BR7" s="157">
        <f t="shared" si="4"/>
        <v>65925</v>
      </c>
      <c r="BS7" s="157">
        <f t="shared" si="4"/>
        <v>86625</v>
      </c>
      <c r="BT7" s="240">
        <f>SUM(BP7:BS7)</f>
        <v>184089</v>
      </c>
      <c r="BU7" s="157">
        <f t="shared" ref="BU7:BX9" si="5">SUMIF($B$3:$BI$3,BU$4,$B7:$BI7)</f>
        <v>92499</v>
      </c>
      <c r="BV7" s="157">
        <f t="shared" si="5"/>
        <v>159248.99999999994</v>
      </c>
      <c r="BW7" s="157">
        <f t="shared" si="5"/>
        <v>221749</v>
      </c>
      <c r="BX7" s="157">
        <f t="shared" si="5"/>
        <v>228749</v>
      </c>
      <c r="BY7" s="240">
        <f>SUM(BU7:BX7)</f>
        <v>702246</v>
      </c>
      <c r="BZ7" s="157">
        <f t="shared" ref="BZ7:CC9" si="6">SUMIF($B$3:$BI$3,BZ$4,$B7:$BI7)</f>
        <v>279064</v>
      </c>
      <c r="CA7" s="157">
        <f t="shared" si="6"/>
        <v>276926.9060513213</v>
      </c>
      <c r="CB7" s="157">
        <f t="shared" si="6"/>
        <v>299959.87938988052</v>
      </c>
      <c r="CC7" s="157">
        <f t="shared" si="6"/>
        <v>380988.37854039762</v>
      </c>
      <c r="CD7" s="240">
        <f>SUM(BZ7:CC7)</f>
        <v>1236939.1639815995</v>
      </c>
      <c r="CE7" s="157">
        <f t="shared" ref="CE7:CH9" si="7">SUMIF($B$3:$BI$3,CE$4,$B7:$BI7)</f>
        <v>487170.63476679265</v>
      </c>
      <c r="CF7" s="157">
        <f t="shared" si="7"/>
        <v>623063.53967340477</v>
      </c>
      <c r="CG7" s="157">
        <f t="shared" si="7"/>
        <v>799048.79242171021</v>
      </c>
      <c r="CH7" s="157">
        <f t="shared" si="7"/>
        <v>1026954.7983030942</v>
      </c>
      <c r="CI7" s="240">
        <f>SUM(CE7:CH7)</f>
        <v>2936237.7651650021</v>
      </c>
      <c r="CJ7" s="157">
        <f t="shared" ref="CJ7:CM9" si="8">SUMIF($B$3:$BI$3,CJ$4,$B7:$BI7)</f>
        <v>1320536.6851936576</v>
      </c>
      <c r="CK7" s="157">
        <f t="shared" si="8"/>
        <v>830276.07855909655</v>
      </c>
      <c r="CL7" s="157">
        <f t="shared" si="8"/>
        <v>1067856.169769309</v>
      </c>
      <c r="CM7" s="157">
        <f t="shared" si="8"/>
        <v>1375529.2777091772</v>
      </c>
      <c r="CN7" s="240">
        <f>SUM(CJ7:CM7)</f>
        <v>4594198.211231241</v>
      </c>
    </row>
    <row r="8" spans="1:93" x14ac:dyDescent="0.3">
      <c r="A8" s="536" t="s">
        <v>131</v>
      </c>
      <c r="B8" s="545"/>
      <c r="C8" s="546"/>
      <c r="D8" s="562">
        <v>525</v>
      </c>
      <c r="E8" s="157">
        <v>750</v>
      </c>
      <c r="F8" s="156">
        <v>750</v>
      </c>
      <c r="G8" s="156">
        <v>775</v>
      </c>
      <c r="H8" s="156">
        <v>1525</v>
      </c>
      <c r="I8" s="156">
        <v>20025</v>
      </c>
      <c r="J8" s="156">
        <v>20000</v>
      </c>
      <c r="K8" s="156">
        <v>20000</v>
      </c>
      <c r="L8" s="156">
        <v>22250</v>
      </c>
      <c r="M8" s="156">
        <v>19999.999999999993</v>
      </c>
      <c r="N8" s="156">
        <v>20000</v>
      </c>
      <c r="O8" s="156">
        <v>22250</v>
      </c>
      <c r="P8" s="156">
        <v>21500</v>
      </c>
      <c r="Q8" s="156">
        <v>43750</v>
      </c>
      <c r="R8" s="156">
        <v>42249.999999999971</v>
      </c>
      <c r="S8" s="156">
        <v>44499.999999999985</v>
      </c>
      <c r="T8" s="156">
        <v>50750</v>
      </c>
      <c r="U8" s="156">
        <v>70000</v>
      </c>
      <c r="V8" s="156">
        <v>72250</v>
      </c>
      <c r="W8" s="156">
        <v>60000</v>
      </c>
      <c r="X8" s="156">
        <v>70000</v>
      </c>
      <c r="Y8" s="156">
        <v>70000</v>
      </c>
      <c r="Z8" s="156">
        <v>63750.000000000029</v>
      </c>
      <c r="AA8" s="156">
        <v>90000</v>
      </c>
      <c r="AB8" s="156">
        <v>100000</v>
      </c>
      <c r="AC8" s="156">
        <v>104230.99622443167</v>
      </c>
      <c r="AD8" s="156">
        <v>70517.660204253392</v>
      </c>
      <c r="AE8" s="156">
        <v>76864.249622636242</v>
      </c>
      <c r="AF8" s="156">
        <v>83782.032088673441</v>
      </c>
      <c r="AG8" s="156">
        <v>91322.414976654109</v>
      </c>
      <c r="AH8" s="156">
        <v>99541.432324552967</v>
      </c>
      <c r="AI8" s="156">
        <v>108500.16123376274</v>
      </c>
      <c r="AJ8" s="156">
        <v>118265.17574480129</v>
      </c>
      <c r="AK8" s="156">
        <v>128909.04156183358</v>
      </c>
      <c r="AL8" s="156">
        <v>140510.85530239856</v>
      </c>
      <c r="AM8" s="156">
        <v>153156.83227961441</v>
      </c>
      <c r="AN8" s="156">
        <v>166940.94718477968</v>
      </c>
      <c r="AO8" s="156">
        <v>181965.63243140979</v>
      </c>
      <c r="AP8" s="156">
        <v>198342.53935023677</v>
      </c>
      <c r="AQ8" s="156">
        <v>216193.36789175821</v>
      </c>
      <c r="AR8" s="156">
        <v>235650.7710020165</v>
      </c>
      <c r="AS8" s="156">
        <v>256859.34039219795</v>
      </c>
      <c r="AT8" s="156">
        <v>279976.68102749577</v>
      </c>
      <c r="AU8" s="156">
        <v>305174.58231997024</v>
      </c>
      <c r="AV8" s="156">
        <v>332640.29472876759</v>
      </c>
      <c r="AW8" s="156">
        <v>362577.92125435639</v>
      </c>
      <c r="AX8" s="156">
        <v>395209.9341672489</v>
      </c>
      <c r="AY8" s="157">
        <v>430778.82824230101</v>
      </c>
      <c r="AZ8" s="156">
        <v>469548.92278410774</v>
      </c>
      <c r="BA8" s="156">
        <v>245653.60378240322</v>
      </c>
      <c r="BB8" s="156">
        <v>267762.42812281963</v>
      </c>
      <c r="BC8" s="156">
        <v>291861.04665387364</v>
      </c>
      <c r="BD8" s="156">
        <v>318128.5408527223</v>
      </c>
      <c r="BE8" s="156">
        <v>346760.10952946724</v>
      </c>
      <c r="BF8" s="156">
        <v>377968.51938711933</v>
      </c>
      <c r="BG8" s="156">
        <v>411985.68613195984</v>
      </c>
      <c r="BH8" s="156">
        <v>449064.3978838363</v>
      </c>
      <c r="BI8" s="156">
        <v>489480.19369338115</v>
      </c>
      <c r="BJ8" s="156"/>
      <c r="BK8" s="167">
        <f t="shared" ref="BK8:BM9" si="9">SUMIF($B$3:$BI$3,BK$4,$B8:$BI8)</f>
        <v>0</v>
      </c>
      <c r="BL8" s="157">
        <f t="shared" si="9"/>
        <v>0</v>
      </c>
      <c r="BM8" s="157">
        <f t="shared" si="9"/>
        <v>0</v>
      </c>
      <c r="BN8" s="157">
        <f>SUMIF($B$3:$BI$3,BN$4,$B8:$BI8)</f>
        <v>0</v>
      </c>
      <c r="BO8" s="240">
        <f>SUM(BK8:BN8)</f>
        <v>0</v>
      </c>
      <c r="BP8" s="157">
        <f t="shared" si="4"/>
        <v>525</v>
      </c>
      <c r="BQ8" s="157">
        <f t="shared" si="4"/>
        <v>2275</v>
      </c>
      <c r="BR8" s="157">
        <f t="shared" si="4"/>
        <v>41550</v>
      </c>
      <c r="BS8" s="157">
        <f t="shared" si="4"/>
        <v>62249.999999999993</v>
      </c>
      <c r="BT8" s="240">
        <f>SUM(BP8:BS8)</f>
        <v>106600</v>
      </c>
      <c r="BU8" s="157">
        <f t="shared" si="5"/>
        <v>63750</v>
      </c>
      <c r="BV8" s="157">
        <f t="shared" si="5"/>
        <v>130499.99999999996</v>
      </c>
      <c r="BW8" s="157">
        <f t="shared" si="5"/>
        <v>193000</v>
      </c>
      <c r="BX8" s="157">
        <f t="shared" si="5"/>
        <v>200000</v>
      </c>
      <c r="BY8" s="240">
        <f>SUM(BU8:BX8)</f>
        <v>587250</v>
      </c>
      <c r="BZ8" s="157">
        <f t="shared" si="6"/>
        <v>253750.00000000003</v>
      </c>
      <c r="CA8" s="157">
        <f t="shared" si="6"/>
        <v>251612.9060513213</v>
      </c>
      <c r="CB8" s="157">
        <f t="shared" si="6"/>
        <v>274645.87938988052</v>
      </c>
      <c r="CC8" s="157">
        <f t="shared" si="6"/>
        <v>355674.37854039762</v>
      </c>
      <c r="CD8" s="240">
        <f>SUM(BZ8:CC8)</f>
        <v>1135683.1639815995</v>
      </c>
      <c r="CE8" s="157">
        <f t="shared" si="7"/>
        <v>460608.63476679265</v>
      </c>
      <c r="CF8" s="157">
        <f t="shared" si="7"/>
        <v>596501.53967340477</v>
      </c>
      <c r="CG8" s="157">
        <f t="shared" si="7"/>
        <v>772486.79242171021</v>
      </c>
      <c r="CH8" s="157">
        <f t="shared" si="7"/>
        <v>1000392.7983030942</v>
      </c>
      <c r="CI8" s="240">
        <f>SUM(CE8:CH8)</f>
        <v>2829989.7651650021</v>
      </c>
      <c r="CJ8" s="157">
        <f t="shared" si="8"/>
        <v>1295537.6851936576</v>
      </c>
      <c r="CK8" s="157">
        <f t="shared" si="8"/>
        <v>805277.07855909644</v>
      </c>
      <c r="CL8" s="157">
        <f t="shared" si="8"/>
        <v>1042857.1697693089</v>
      </c>
      <c r="CM8" s="157">
        <f t="shared" si="8"/>
        <v>1350530.2777091772</v>
      </c>
      <c r="CN8" s="240">
        <f>SUM(CJ8:CM8)</f>
        <v>4494202.2112312401</v>
      </c>
    </row>
    <row r="9" spans="1:93" x14ac:dyDescent="0.3">
      <c r="A9" s="534" t="s">
        <v>132</v>
      </c>
      <c r="B9" s="547"/>
      <c r="C9" s="548"/>
      <c r="D9" s="149"/>
      <c r="E9" s="149">
        <f>ROUND(-E26/$B$31,0)+B33</f>
        <v>12489</v>
      </c>
      <c r="F9" s="159">
        <f t="shared" ref="F9:AK9" si="10">ROUND(-F26/$B$31,0)</f>
        <v>8125</v>
      </c>
      <c r="G9" s="149">
        <f t="shared" si="10"/>
        <v>8125</v>
      </c>
      <c r="H9" s="149">
        <f t="shared" si="10"/>
        <v>8125</v>
      </c>
      <c r="I9" s="149">
        <f t="shared" si="10"/>
        <v>8125</v>
      </c>
      <c r="J9" s="149">
        <f t="shared" si="10"/>
        <v>8125</v>
      </c>
      <c r="K9" s="149">
        <f t="shared" si="10"/>
        <v>8125</v>
      </c>
      <c r="L9" s="149">
        <f t="shared" si="10"/>
        <v>8125</v>
      </c>
      <c r="M9" s="149">
        <f t="shared" si="10"/>
        <v>8125</v>
      </c>
      <c r="N9" s="149">
        <f t="shared" si="10"/>
        <v>9583</v>
      </c>
      <c r="O9" s="149">
        <f t="shared" si="10"/>
        <v>9583</v>
      </c>
      <c r="P9" s="149">
        <f t="shared" si="10"/>
        <v>9583</v>
      </c>
      <c r="Q9" s="149">
        <f t="shared" si="10"/>
        <v>9583</v>
      </c>
      <c r="R9" s="149">
        <f t="shared" si="10"/>
        <v>9583</v>
      </c>
      <c r="S9" s="149">
        <f>ROUND(-S26/$B$31,0)</f>
        <v>9583</v>
      </c>
      <c r="T9" s="149">
        <f t="shared" si="10"/>
        <v>9583</v>
      </c>
      <c r="U9" s="149">
        <f t="shared" si="10"/>
        <v>9583</v>
      </c>
      <c r="V9" s="149">
        <f t="shared" si="10"/>
        <v>9583</v>
      </c>
      <c r="W9" s="149">
        <f t="shared" si="10"/>
        <v>9583</v>
      </c>
      <c r="X9" s="149">
        <f t="shared" si="10"/>
        <v>9583</v>
      </c>
      <c r="Y9" s="149">
        <f t="shared" si="10"/>
        <v>9583</v>
      </c>
      <c r="Z9" s="149">
        <f t="shared" si="10"/>
        <v>8438</v>
      </c>
      <c r="AA9" s="149">
        <f t="shared" si="10"/>
        <v>8438</v>
      </c>
      <c r="AB9" s="149">
        <f t="shared" si="10"/>
        <v>8438</v>
      </c>
      <c r="AC9" s="149">
        <f t="shared" si="10"/>
        <v>8438</v>
      </c>
      <c r="AD9" s="149">
        <f t="shared" si="10"/>
        <v>8438</v>
      </c>
      <c r="AE9" s="149">
        <f t="shared" si="10"/>
        <v>8438</v>
      </c>
      <c r="AF9" s="149">
        <f t="shared" si="10"/>
        <v>8438</v>
      </c>
      <c r="AG9" s="149">
        <f t="shared" si="10"/>
        <v>8438</v>
      </c>
      <c r="AH9" s="149">
        <f t="shared" si="10"/>
        <v>8438</v>
      </c>
      <c r="AI9" s="149">
        <f t="shared" si="10"/>
        <v>8438</v>
      </c>
      <c r="AJ9" s="149">
        <f t="shared" si="10"/>
        <v>8438</v>
      </c>
      <c r="AK9" s="149">
        <f t="shared" si="10"/>
        <v>8438</v>
      </c>
      <c r="AL9" s="149">
        <f t="shared" ref="AL9:BI9" si="11">ROUND(-AL26/$B$31,0)</f>
        <v>8854</v>
      </c>
      <c r="AM9" s="149">
        <f t="shared" si="11"/>
        <v>8854</v>
      </c>
      <c r="AN9" s="149">
        <f t="shared" si="11"/>
        <v>8854</v>
      </c>
      <c r="AO9" s="149">
        <f t="shared" si="11"/>
        <v>8854</v>
      </c>
      <c r="AP9" s="149">
        <f t="shared" si="11"/>
        <v>8854</v>
      </c>
      <c r="AQ9" s="149">
        <f t="shared" si="11"/>
        <v>8854</v>
      </c>
      <c r="AR9" s="149">
        <f t="shared" si="11"/>
        <v>8854</v>
      </c>
      <c r="AS9" s="149">
        <f t="shared" si="11"/>
        <v>8854</v>
      </c>
      <c r="AT9" s="149">
        <f t="shared" si="11"/>
        <v>8854</v>
      </c>
      <c r="AU9" s="149">
        <f t="shared" si="11"/>
        <v>8854</v>
      </c>
      <c r="AV9" s="149">
        <f t="shared" si="11"/>
        <v>8854</v>
      </c>
      <c r="AW9" s="149">
        <f t="shared" si="11"/>
        <v>8854</v>
      </c>
      <c r="AX9" s="149">
        <f t="shared" si="11"/>
        <v>8333</v>
      </c>
      <c r="AY9" s="149">
        <f t="shared" si="11"/>
        <v>8333</v>
      </c>
      <c r="AZ9" s="149">
        <f t="shared" si="11"/>
        <v>8333</v>
      </c>
      <c r="BA9" s="149">
        <f t="shared" si="11"/>
        <v>8333</v>
      </c>
      <c r="BB9" s="149">
        <f t="shared" si="11"/>
        <v>8333</v>
      </c>
      <c r="BC9" s="149">
        <f t="shared" si="11"/>
        <v>8333</v>
      </c>
      <c r="BD9" s="149">
        <f t="shared" si="11"/>
        <v>8333</v>
      </c>
      <c r="BE9" s="149">
        <f t="shared" si="11"/>
        <v>8333</v>
      </c>
      <c r="BF9" s="149">
        <f t="shared" si="11"/>
        <v>8333</v>
      </c>
      <c r="BG9" s="149">
        <f t="shared" si="11"/>
        <v>8333</v>
      </c>
      <c r="BH9" s="149">
        <f t="shared" si="11"/>
        <v>8333</v>
      </c>
      <c r="BI9" s="149">
        <f t="shared" si="11"/>
        <v>8333</v>
      </c>
      <c r="BJ9" s="149"/>
      <c r="BK9" s="164">
        <f t="shared" si="9"/>
        <v>0</v>
      </c>
      <c r="BL9" s="129">
        <f t="shared" si="9"/>
        <v>0</v>
      </c>
      <c r="BM9" s="129">
        <f t="shared" si="9"/>
        <v>0</v>
      </c>
      <c r="BN9" s="129">
        <f>SUMIF($B$3:$BI$3,BN$4,$B9:$BI9)</f>
        <v>0</v>
      </c>
      <c r="BO9" s="241">
        <f>SUM(BK9:BN9)</f>
        <v>0</v>
      </c>
      <c r="BP9" s="129">
        <f t="shared" si="4"/>
        <v>0</v>
      </c>
      <c r="BQ9" s="129">
        <f t="shared" si="4"/>
        <v>28739</v>
      </c>
      <c r="BR9" s="129">
        <f t="shared" si="4"/>
        <v>24375</v>
      </c>
      <c r="BS9" s="129">
        <f t="shared" si="4"/>
        <v>24375</v>
      </c>
      <c r="BT9" s="241">
        <f>SUM(BP9:BS9)</f>
        <v>77489</v>
      </c>
      <c r="BU9" s="129">
        <f t="shared" si="5"/>
        <v>28749</v>
      </c>
      <c r="BV9" s="129">
        <f t="shared" si="5"/>
        <v>28749</v>
      </c>
      <c r="BW9" s="129">
        <f t="shared" si="5"/>
        <v>28749</v>
      </c>
      <c r="BX9" s="129">
        <f t="shared" si="5"/>
        <v>28749</v>
      </c>
      <c r="BY9" s="241">
        <f>SUM(BU9:BX9)</f>
        <v>114996</v>
      </c>
      <c r="BZ9" s="129">
        <f t="shared" si="6"/>
        <v>25314</v>
      </c>
      <c r="CA9" s="129">
        <f t="shared" si="6"/>
        <v>25314</v>
      </c>
      <c r="CB9" s="129">
        <f t="shared" si="6"/>
        <v>25314</v>
      </c>
      <c r="CC9" s="129">
        <f t="shared" si="6"/>
        <v>25314</v>
      </c>
      <c r="CD9" s="241">
        <f>SUM(BZ9:CC9)</f>
        <v>101256</v>
      </c>
      <c r="CE9" s="129">
        <f t="shared" si="7"/>
        <v>26562</v>
      </c>
      <c r="CF9" s="129">
        <f t="shared" si="7"/>
        <v>26562</v>
      </c>
      <c r="CG9" s="129">
        <f t="shared" si="7"/>
        <v>26562</v>
      </c>
      <c r="CH9" s="129">
        <f t="shared" si="7"/>
        <v>26562</v>
      </c>
      <c r="CI9" s="241">
        <f>SUM(CE9:CH9)</f>
        <v>106248</v>
      </c>
      <c r="CJ9" s="129">
        <f t="shared" si="8"/>
        <v>24999</v>
      </c>
      <c r="CK9" s="129">
        <f t="shared" si="8"/>
        <v>24999</v>
      </c>
      <c r="CL9" s="129">
        <f t="shared" si="8"/>
        <v>24999</v>
      </c>
      <c r="CM9" s="129">
        <f t="shared" si="8"/>
        <v>24999</v>
      </c>
      <c r="CN9" s="241">
        <f>SUM(CJ9:CM9)</f>
        <v>99996</v>
      </c>
    </row>
    <row r="10" spans="1:93" x14ac:dyDescent="0.3">
      <c r="A10" s="536" t="s">
        <v>117</v>
      </c>
      <c r="B10" s="545"/>
      <c r="C10" s="545"/>
      <c r="D10" s="236">
        <f>D7+C7</f>
        <v>525</v>
      </c>
      <c r="E10" s="156">
        <f t="shared" ref="E10:AJ10" si="12">E7+D10</f>
        <v>13764</v>
      </c>
      <c r="F10" s="156">
        <f t="shared" si="12"/>
        <v>22639</v>
      </c>
      <c r="G10" s="156">
        <f t="shared" si="12"/>
        <v>31539</v>
      </c>
      <c r="H10" s="156">
        <f t="shared" si="12"/>
        <v>41189</v>
      </c>
      <c r="I10" s="156">
        <f t="shared" si="12"/>
        <v>69339</v>
      </c>
      <c r="J10" s="156">
        <f t="shared" si="12"/>
        <v>97464</v>
      </c>
      <c r="K10" s="156">
        <f t="shared" si="12"/>
        <v>125589</v>
      </c>
      <c r="L10" s="156">
        <f t="shared" si="12"/>
        <v>155964</v>
      </c>
      <c r="M10" s="156">
        <f t="shared" si="12"/>
        <v>184089</v>
      </c>
      <c r="N10" s="156">
        <f t="shared" si="12"/>
        <v>213672</v>
      </c>
      <c r="O10" s="156">
        <f t="shared" si="12"/>
        <v>245505</v>
      </c>
      <c r="P10" s="156">
        <f t="shared" si="12"/>
        <v>276588</v>
      </c>
      <c r="Q10" s="156">
        <f t="shared" si="12"/>
        <v>329921</v>
      </c>
      <c r="R10" s="156">
        <f t="shared" si="12"/>
        <v>381754</v>
      </c>
      <c r="S10" s="156">
        <f t="shared" si="12"/>
        <v>435837</v>
      </c>
      <c r="T10" s="156">
        <f t="shared" si="12"/>
        <v>496170</v>
      </c>
      <c r="U10" s="156">
        <f t="shared" si="12"/>
        <v>575753</v>
      </c>
      <c r="V10" s="156">
        <f t="shared" si="12"/>
        <v>657586</v>
      </c>
      <c r="W10" s="156">
        <f t="shared" si="12"/>
        <v>727169</v>
      </c>
      <c r="X10" s="156">
        <f t="shared" si="12"/>
        <v>806752</v>
      </c>
      <c r="Y10" s="156">
        <f t="shared" si="12"/>
        <v>886335</v>
      </c>
      <c r="Z10" s="156">
        <f t="shared" si="12"/>
        <v>958523</v>
      </c>
      <c r="AA10" s="156">
        <f t="shared" si="12"/>
        <v>1056961</v>
      </c>
      <c r="AB10" s="156">
        <f t="shared" si="12"/>
        <v>1165399</v>
      </c>
      <c r="AC10" s="156">
        <f t="shared" si="12"/>
        <v>1278067.9962244318</v>
      </c>
      <c r="AD10" s="156">
        <f t="shared" si="12"/>
        <v>1357023.6564286852</v>
      </c>
      <c r="AE10" s="156">
        <f t="shared" si="12"/>
        <v>1442325.9060513214</v>
      </c>
      <c r="AF10" s="156">
        <f t="shared" si="12"/>
        <v>1534545.9381399949</v>
      </c>
      <c r="AG10" s="156">
        <f t="shared" si="12"/>
        <v>1634306.353116649</v>
      </c>
      <c r="AH10" s="156">
        <f t="shared" si="12"/>
        <v>1742285.7854412019</v>
      </c>
      <c r="AI10" s="156">
        <f t="shared" si="12"/>
        <v>1859223.9466749646</v>
      </c>
      <c r="AJ10" s="156">
        <f t="shared" si="12"/>
        <v>1985927.1224197659</v>
      </c>
      <c r="AK10" s="156">
        <f t="shared" ref="AK10:BI10" si="13">AK7+AJ10</f>
        <v>2123274.1639815997</v>
      </c>
      <c r="AL10" s="156">
        <f t="shared" si="13"/>
        <v>2272639.0192839983</v>
      </c>
      <c r="AM10" s="156">
        <f t="shared" si="13"/>
        <v>2434649.8515636129</v>
      </c>
      <c r="AN10" s="156">
        <f t="shared" si="13"/>
        <v>2610444.7987483926</v>
      </c>
      <c r="AO10" s="156">
        <f t="shared" si="13"/>
        <v>2801264.4311798024</v>
      </c>
      <c r="AP10" s="156">
        <f t="shared" si="13"/>
        <v>3008460.9705300392</v>
      </c>
      <c r="AQ10" s="156">
        <f t="shared" si="13"/>
        <v>3233508.3384217974</v>
      </c>
      <c r="AR10" s="156">
        <f t="shared" si="13"/>
        <v>3478013.1094238139</v>
      </c>
      <c r="AS10" s="156">
        <f t="shared" si="13"/>
        <v>3743726.4498160118</v>
      </c>
      <c r="AT10" s="156">
        <f t="shared" si="13"/>
        <v>4032557.1308435076</v>
      </c>
      <c r="AU10" s="156">
        <f t="shared" si="13"/>
        <v>4346585.7131634783</v>
      </c>
      <c r="AV10" s="156">
        <f t="shared" si="13"/>
        <v>4688080.0078922454</v>
      </c>
      <c r="AW10" s="156">
        <f t="shared" si="13"/>
        <v>5059511.9291466018</v>
      </c>
      <c r="AX10" s="156">
        <f t="shared" si="13"/>
        <v>5463054.8633138509</v>
      </c>
      <c r="AY10" s="156">
        <f t="shared" si="13"/>
        <v>5902166.691556152</v>
      </c>
      <c r="AZ10" s="156">
        <f t="shared" si="13"/>
        <v>6380048.6143402597</v>
      </c>
      <c r="BA10" s="156">
        <f t="shared" si="13"/>
        <v>6634035.218122663</v>
      </c>
      <c r="BB10" s="156">
        <f t="shared" si="13"/>
        <v>6910130.6462454824</v>
      </c>
      <c r="BC10" s="156">
        <f t="shared" si="13"/>
        <v>7210324.6928993557</v>
      </c>
      <c r="BD10" s="156">
        <f t="shared" si="13"/>
        <v>7536786.2337520784</v>
      </c>
      <c r="BE10" s="156">
        <f t="shared" si="13"/>
        <v>7891879.3432815457</v>
      </c>
      <c r="BF10" s="156">
        <f t="shared" si="13"/>
        <v>8278180.8626686651</v>
      </c>
      <c r="BG10" s="156">
        <f t="shared" si="13"/>
        <v>8698499.5488006249</v>
      </c>
      <c r="BH10" s="156">
        <f t="shared" si="13"/>
        <v>9155896.9466844611</v>
      </c>
      <c r="BI10" s="156">
        <f t="shared" si="13"/>
        <v>9653710.1403778419</v>
      </c>
      <c r="BJ10" s="156"/>
      <c r="BK10" s="167"/>
      <c r="BL10" s="157"/>
      <c r="BM10" s="157"/>
      <c r="BN10" s="157">
        <f>SUMIFS($B$10:$BI$10,$B$3:$BI$3,BN$4,$B$2:$BI$2,1)</f>
        <v>0</v>
      </c>
      <c r="BO10" s="240">
        <f>BN10</f>
        <v>0</v>
      </c>
      <c r="BP10" s="157">
        <f>BN10+BP7</f>
        <v>525</v>
      </c>
      <c r="BQ10" s="157">
        <f>BP10+BQ7</f>
        <v>31539</v>
      </c>
      <c r="BR10" s="157">
        <f t="shared" ref="BR10:BS10" si="14">BQ10+BR7</f>
        <v>97464</v>
      </c>
      <c r="BS10" s="157">
        <f t="shared" si="14"/>
        <v>184089</v>
      </c>
      <c r="BT10" s="240">
        <f>BS10</f>
        <v>184089</v>
      </c>
      <c r="BU10" s="157">
        <f>BT10+BU7</f>
        <v>276588</v>
      </c>
      <c r="BV10" s="157">
        <f t="shared" ref="BV10:BX10" si="15">BU10+BV7</f>
        <v>435836.99999999994</v>
      </c>
      <c r="BW10" s="157">
        <f t="shared" si="15"/>
        <v>657586</v>
      </c>
      <c r="BX10" s="157">
        <f t="shared" si="15"/>
        <v>886335</v>
      </c>
      <c r="BY10" s="240">
        <f>BX10</f>
        <v>886335</v>
      </c>
      <c r="BZ10" s="157">
        <f>BY10+BZ7</f>
        <v>1165399</v>
      </c>
      <c r="CA10" s="157">
        <f t="shared" ref="CA10:CC10" si="16">BZ10+CA7</f>
        <v>1442325.9060513214</v>
      </c>
      <c r="CB10" s="157">
        <f t="shared" si="16"/>
        <v>1742285.7854412019</v>
      </c>
      <c r="CC10" s="157">
        <f t="shared" si="16"/>
        <v>2123274.1639815997</v>
      </c>
      <c r="CD10" s="240">
        <f>CC10</f>
        <v>2123274.1639815997</v>
      </c>
      <c r="CE10" s="157">
        <f>CD10+CE7</f>
        <v>2610444.7987483926</v>
      </c>
      <c r="CF10" s="157">
        <f t="shared" ref="CF10:CH10" si="17">CE10+CF7</f>
        <v>3233508.3384217974</v>
      </c>
      <c r="CG10" s="157">
        <f t="shared" si="17"/>
        <v>4032557.1308435076</v>
      </c>
      <c r="CH10" s="157">
        <f t="shared" si="17"/>
        <v>5059511.9291466018</v>
      </c>
      <c r="CI10" s="240">
        <f>CH10</f>
        <v>5059511.9291466018</v>
      </c>
      <c r="CJ10" s="157">
        <f>CI10+CJ7</f>
        <v>6380048.6143402597</v>
      </c>
      <c r="CK10" s="157">
        <f t="shared" ref="CK10:CM10" si="18">CJ10+CK7</f>
        <v>7210324.6928993566</v>
      </c>
      <c r="CL10" s="157">
        <f t="shared" si="18"/>
        <v>8278180.8626686651</v>
      </c>
      <c r="CM10" s="157">
        <f t="shared" si="18"/>
        <v>9653710.1403778419</v>
      </c>
      <c r="CN10" s="240">
        <f>CM10</f>
        <v>9653710.1403778419</v>
      </c>
    </row>
    <row r="11" spans="1:93" x14ac:dyDescent="0.3">
      <c r="A11" s="537" t="s">
        <v>20</v>
      </c>
      <c r="B11" s="549"/>
      <c r="C11" s="549"/>
      <c r="D11" s="237">
        <f t="shared" ref="D11:AI11" si="19">D12+D13</f>
        <v>525</v>
      </c>
      <c r="E11" s="159">
        <f t="shared" si="19"/>
        <v>12984</v>
      </c>
      <c r="F11" s="159">
        <f t="shared" si="19"/>
        <v>15515.5</v>
      </c>
      <c r="G11" s="159">
        <f t="shared" si="19"/>
        <v>24309.960000000003</v>
      </c>
      <c r="H11" s="159">
        <f t="shared" si="19"/>
        <v>29097.368000000002</v>
      </c>
      <c r="I11" s="159">
        <f t="shared" si="19"/>
        <v>32600.494400000003</v>
      </c>
      <c r="J11" s="159">
        <f t="shared" si="19"/>
        <v>35105.395520000005</v>
      </c>
      <c r="K11" s="159">
        <f t="shared" si="19"/>
        <v>37249.316416000001</v>
      </c>
      <c r="L11" s="159">
        <f t="shared" si="19"/>
        <v>39724.453132800008</v>
      </c>
      <c r="M11" s="159">
        <f t="shared" si="19"/>
        <v>41904.562506240007</v>
      </c>
      <c r="N11" s="159">
        <f t="shared" si="19"/>
        <v>58306.650004992007</v>
      </c>
      <c r="O11" s="159">
        <f t="shared" si="19"/>
        <v>60228.320003993605</v>
      </c>
      <c r="P11" s="159">
        <f t="shared" si="19"/>
        <v>61765.65600319489</v>
      </c>
      <c r="Q11" s="159">
        <f t="shared" si="19"/>
        <v>62995.524802555912</v>
      </c>
      <c r="R11" s="159">
        <f t="shared" si="19"/>
        <v>93979.419842044736</v>
      </c>
      <c r="S11" s="159">
        <f t="shared" si="19"/>
        <v>94766.535873635788</v>
      </c>
      <c r="T11" s="159">
        <f t="shared" si="19"/>
        <v>95396</v>
      </c>
      <c r="U11" s="159">
        <f t="shared" si="19"/>
        <v>95548</v>
      </c>
      <c r="V11" s="159">
        <f t="shared" si="19"/>
        <v>95793</v>
      </c>
      <c r="W11" s="159">
        <f t="shared" si="19"/>
        <v>145989</v>
      </c>
      <c r="X11" s="159">
        <f t="shared" si="19"/>
        <v>146145</v>
      </c>
      <c r="Y11" s="159">
        <f t="shared" si="19"/>
        <v>146271</v>
      </c>
      <c r="Z11" s="159">
        <f t="shared" si="19"/>
        <v>145226</v>
      </c>
      <c r="AA11" s="159">
        <f t="shared" si="19"/>
        <v>144390</v>
      </c>
      <c r="AB11" s="159">
        <f t="shared" si="19"/>
        <v>143721</v>
      </c>
      <c r="AC11" s="159">
        <f t="shared" si="19"/>
        <v>143186</v>
      </c>
      <c r="AD11" s="159">
        <f t="shared" si="19"/>
        <v>142717</v>
      </c>
      <c r="AE11" s="159">
        <f t="shared" si="19"/>
        <v>142342</v>
      </c>
      <c r="AF11" s="159">
        <f t="shared" si="19"/>
        <v>142042</v>
      </c>
      <c r="AG11" s="159">
        <f t="shared" si="19"/>
        <v>141802</v>
      </c>
      <c r="AH11" s="159">
        <f t="shared" si="19"/>
        <v>141610</v>
      </c>
      <c r="AI11" s="159">
        <f t="shared" si="19"/>
        <v>141456</v>
      </c>
      <c r="AJ11" s="159">
        <f t="shared" ref="AJ11:BC11" si="20">AJ12+AJ13</f>
        <v>141333</v>
      </c>
      <c r="AK11" s="159">
        <f t="shared" si="20"/>
        <v>141235</v>
      </c>
      <c r="AL11" s="159">
        <f t="shared" si="20"/>
        <v>191572</v>
      </c>
      <c r="AM11" s="159">
        <f t="shared" si="20"/>
        <v>191842</v>
      </c>
      <c r="AN11" s="159">
        <f t="shared" si="20"/>
        <v>192058</v>
      </c>
      <c r="AO11" s="159">
        <f t="shared" si="20"/>
        <v>192230</v>
      </c>
      <c r="AP11" s="159">
        <f t="shared" si="20"/>
        <v>192401</v>
      </c>
      <c r="AQ11" s="159">
        <f t="shared" si="20"/>
        <v>192537</v>
      </c>
      <c r="AR11" s="159">
        <f t="shared" si="20"/>
        <v>192646</v>
      </c>
      <c r="AS11" s="159">
        <f t="shared" si="20"/>
        <v>192733</v>
      </c>
      <c r="AT11" s="159">
        <f t="shared" si="20"/>
        <v>192803</v>
      </c>
      <c r="AU11" s="159">
        <f t="shared" si="20"/>
        <v>192859</v>
      </c>
      <c r="AV11" s="159">
        <f t="shared" si="20"/>
        <v>292904</v>
      </c>
      <c r="AW11" s="159">
        <f t="shared" si="20"/>
        <v>292940</v>
      </c>
      <c r="AX11" s="159">
        <f t="shared" si="20"/>
        <v>292447</v>
      </c>
      <c r="AY11" s="159">
        <f t="shared" si="20"/>
        <v>292053</v>
      </c>
      <c r="AZ11" s="159">
        <f t="shared" si="20"/>
        <v>291738</v>
      </c>
      <c r="BA11" s="159">
        <f t="shared" si="20"/>
        <v>441486</v>
      </c>
      <c r="BB11" s="159">
        <f t="shared" si="20"/>
        <v>541273</v>
      </c>
      <c r="BC11" s="159">
        <f t="shared" si="20"/>
        <v>541102</v>
      </c>
      <c r="BD11" s="159">
        <f t="shared" ref="BD11:BI11" si="21">BC11*0.8+BD7</f>
        <v>759343.14085272234</v>
      </c>
      <c r="BE11" s="159">
        <f t="shared" si="21"/>
        <v>962567.62221164512</v>
      </c>
      <c r="BF11" s="159">
        <f t="shared" si="21"/>
        <v>1156355.6171564355</v>
      </c>
      <c r="BG11" s="159">
        <f t="shared" si="21"/>
        <v>1345403.1798571083</v>
      </c>
      <c r="BH11" s="159">
        <f t="shared" si="21"/>
        <v>1533719.9417695231</v>
      </c>
      <c r="BI11" s="159">
        <f t="shared" si="21"/>
        <v>1724789.1471089995</v>
      </c>
      <c r="BJ11" s="159"/>
      <c r="BK11" s="192"/>
      <c r="BL11" s="162"/>
      <c r="BM11" s="162"/>
      <c r="BN11" s="162">
        <f>SUMIF($B$3:$BI$3,BN$4,$B11:$BI11)</f>
        <v>0</v>
      </c>
      <c r="BO11" s="242">
        <f t="shared" ref="BO11:BS13" si="22">SUMIF($B$3:$BI$3,BO$4,$B11:$BI11)/3</f>
        <v>0</v>
      </c>
      <c r="BP11" s="162">
        <f t="shared" si="22"/>
        <v>175</v>
      </c>
      <c r="BQ11" s="162">
        <f t="shared" si="22"/>
        <v>17603.153333333335</v>
      </c>
      <c r="BR11" s="162">
        <f t="shared" si="22"/>
        <v>32267.752640000002</v>
      </c>
      <c r="BS11" s="162">
        <f t="shared" si="22"/>
        <v>39626.110685013344</v>
      </c>
      <c r="BT11" s="564">
        <f>AVERAGE(BP11:BS11)</f>
        <v>22418.004164586673</v>
      </c>
      <c r="BU11" s="565">
        <f t="shared" ref="BU11:BX13" si="23">SUMIF($B$3:$BI$3,BU$4,$B11:$BI11)/3</f>
        <v>60100.208670726832</v>
      </c>
      <c r="BV11" s="565">
        <f t="shared" si="23"/>
        <v>83913.826839412141</v>
      </c>
      <c r="BW11" s="565">
        <f t="shared" si="23"/>
        <v>95579</v>
      </c>
      <c r="BX11" s="565">
        <f t="shared" si="23"/>
        <v>146135</v>
      </c>
      <c r="BY11" s="564">
        <f>AVERAGE(BU11:BX11)</f>
        <v>96432.008877534739</v>
      </c>
      <c r="BZ11" s="565">
        <f t="shared" ref="BZ11:CC13" si="24">SUMIF($B$3:$BI$3,BZ$4,$B11:$BI11)/3</f>
        <v>144445.66666666666</v>
      </c>
      <c r="CA11" s="565">
        <f t="shared" si="24"/>
        <v>142748.33333333334</v>
      </c>
      <c r="CB11" s="565">
        <f t="shared" si="24"/>
        <v>141818</v>
      </c>
      <c r="CC11" s="565">
        <f t="shared" si="24"/>
        <v>141341.33333333334</v>
      </c>
      <c r="CD11" s="564">
        <f>AVERAGE(BZ11:CC11)</f>
        <v>142588.33333333334</v>
      </c>
      <c r="CE11" s="565">
        <f t="shared" ref="CE11:CH13" si="25">SUMIF($B$3:$BI$3,CE$4,$B11:$BI11)/3</f>
        <v>191824</v>
      </c>
      <c r="CF11" s="565">
        <f t="shared" si="25"/>
        <v>192389.33333333334</v>
      </c>
      <c r="CG11" s="565">
        <f t="shared" si="25"/>
        <v>192727.33333333334</v>
      </c>
      <c r="CH11" s="565">
        <f t="shared" si="25"/>
        <v>259567.66666666666</v>
      </c>
      <c r="CI11" s="564">
        <f>AVERAGE(CE11:CH11)</f>
        <v>209127.08333333334</v>
      </c>
      <c r="CJ11" s="565">
        <f t="shared" ref="CJ11:CM13" si="26">SUMIF($B$3:$BI$3,CJ$4,$B11:$BI11)/3</f>
        <v>292079.33333333331</v>
      </c>
      <c r="CK11" s="565">
        <f t="shared" si="26"/>
        <v>507953.66666666669</v>
      </c>
      <c r="CL11" s="565">
        <f t="shared" si="26"/>
        <v>959422.12674026762</v>
      </c>
      <c r="CM11" s="565">
        <f t="shared" si="26"/>
        <v>1534637.4229118768</v>
      </c>
      <c r="CN11" s="564">
        <f>AVERAGE(CJ11:CM11)</f>
        <v>823523.13741303608</v>
      </c>
    </row>
    <row r="12" spans="1:93" outlineLevel="1" x14ac:dyDescent="0.3">
      <c r="A12" s="538" t="s">
        <v>119</v>
      </c>
      <c r="B12" s="547"/>
      <c r="C12" s="548"/>
      <c r="D12" s="561">
        <v>525</v>
      </c>
      <c r="E12" s="156">
        <v>495</v>
      </c>
      <c r="F12" s="156">
        <v>1146</v>
      </c>
      <c r="G12" s="156">
        <v>1692</v>
      </c>
      <c r="H12" s="156">
        <v>2878</v>
      </c>
      <c r="I12" s="156">
        <v>3500</v>
      </c>
      <c r="J12" s="156">
        <v>3700</v>
      </c>
      <c r="K12" s="156">
        <v>4000</v>
      </c>
      <c r="L12" s="156">
        <v>5000</v>
      </c>
      <c r="M12" s="156">
        <v>6000</v>
      </c>
      <c r="N12" s="156">
        <v>20000</v>
      </c>
      <c r="O12" s="156">
        <v>20000</v>
      </c>
      <c r="P12" s="156">
        <v>20000</v>
      </c>
      <c r="Q12" s="156">
        <v>20000</v>
      </c>
      <c r="R12" s="156">
        <v>50000</v>
      </c>
      <c r="S12" s="156">
        <v>50000</v>
      </c>
      <c r="T12" s="156">
        <v>50000</v>
      </c>
      <c r="U12" s="156">
        <v>50000</v>
      </c>
      <c r="V12" s="156">
        <v>50000</v>
      </c>
      <c r="W12" s="156">
        <v>100000</v>
      </c>
      <c r="X12" s="156">
        <v>100000</v>
      </c>
      <c r="Y12" s="156">
        <v>100000</v>
      </c>
      <c r="Z12" s="156">
        <v>100000</v>
      </c>
      <c r="AA12" s="156">
        <v>100000</v>
      </c>
      <c r="AB12" s="156">
        <v>100000</v>
      </c>
      <c r="AC12" s="156">
        <v>100000</v>
      </c>
      <c r="AD12" s="156">
        <v>100000</v>
      </c>
      <c r="AE12" s="156">
        <v>100000</v>
      </c>
      <c r="AF12" s="156">
        <v>100000</v>
      </c>
      <c r="AG12" s="156">
        <v>100000</v>
      </c>
      <c r="AH12" s="156">
        <v>100000</v>
      </c>
      <c r="AI12" s="156">
        <v>100000</v>
      </c>
      <c r="AJ12" s="156">
        <v>100000</v>
      </c>
      <c r="AK12" s="156">
        <v>100000</v>
      </c>
      <c r="AL12" s="156">
        <v>150000</v>
      </c>
      <c r="AM12" s="156">
        <v>150000</v>
      </c>
      <c r="AN12" s="156">
        <v>150000</v>
      </c>
      <c r="AO12" s="156">
        <v>150000</v>
      </c>
      <c r="AP12" s="156">
        <v>150000</v>
      </c>
      <c r="AQ12" s="156">
        <v>150000</v>
      </c>
      <c r="AR12" s="156">
        <v>150000</v>
      </c>
      <c r="AS12" s="156">
        <v>150000</v>
      </c>
      <c r="AT12" s="156">
        <v>150000</v>
      </c>
      <c r="AU12" s="156">
        <v>150000</v>
      </c>
      <c r="AV12" s="156">
        <v>250000</v>
      </c>
      <c r="AW12" s="156">
        <v>250000</v>
      </c>
      <c r="AX12" s="156">
        <v>250000</v>
      </c>
      <c r="AY12" s="156">
        <v>250000</v>
      </c>
      <c r="AZ12" s="156">
        <v>250000</v>
      </c>
      <c r="BA12" s="156">
        <v>400000</v>
      </c>
      <c r="BB12" s="156">
        <v>500000</v>
      </c>
      <c r="BC12" s="156">
        <v>500000</v>
      </c>
      <c r="BD12" s="156">
        <v>500000</v>
      </c>
      <c r="BE12" s="156">
        <v>500000</v>
      </c>
      <c r="BF12" s="156">
        <v>750000</v>
      </c>
      <c r="BG12" s="156">
        <v>750000</v>
      </c>
      <c r="BH12" s="156">
        <v>750000</v>
      </c>
      <c r="BI12" s="156">
        <v>750000</v>
      </c>
      <c r="BJ12" s="156"/>
      <c r="BK12" s="156">
        <v>350000</v>
      </c>
      <c r="BL12" s="156">
        <v>350000</v>
      </c>
      <c r="BM12" s="156">
        <v>350000</v>
      </c>
      <c r="BN12" s="156">
        <v>350000</v>
      </c>
      <c r="BO12" s="241">
        <f t="shared" si="22"/>
        <v>0</v>
      </c>
      <c r="BP12" s="129">
        <f t="shared" si="22"/>
        <v>175</v>
      </c>
      <c r="BQ12" s="129">
        <f t="shared" si="22"/>
        <v>1111</v>
      </c>
      <c r="BR12" s="129">
        <f t="shared" si="22"/>
        <v>3359.3333333333335</v>
      </c>
      <c r="BS12" s="129">
        <f t="shared" si="22"/>
        <v>5000</v>
      </c>
      <c r="BT12" s="241">
        <f>AVERAGE(BP12:BS12)</f>
        <v>2411.3333333333335</v>
      </c>
      <c r="BU12" s="129">
        <f t="shared" si="23"/>
        <v>20000</v>
      </c>
      <c r="BV12" s="129">
        <f t="shared" si="23"/>
        <v>40000</v>
      </c>
      <c r="BW12" s="129">
        <f t="shared" si="23"/>
        <v>50000</v>
      </c>
      <c r="BX12" s="129">
        <f t="shared" si="23"/>
        <v>100000</v>
      </c>
      <c r="BY12" s="241">
        <f>AVERAGE(BU12:BX12)</f>
        <v>52500</v>
      </c>
      <c r="BZ12" s="129">
        <f t="shared" si="24"/>
        <v>100000</v>
      </c>
      <c r="CA12" s="129">
        <f t="shared" si="24"/>
        <v>100000</v>
      </c>
      <c r="CB12" s="129">
        <f t="shared" si="24"/>
        <v>100000</v>
      </c>
      <c r="CC12" s="129">
        <f t="shared" si="24"/>
        <v>100000</v>
      </c>
      <c r="CD12" s="241">
        <f>AVERAGE(BZ12:CC12)</f>
        <v>100000</v>
      </c>
      <c r="CE12" s="129">
        <f t="shared" si="25"/>
        <v>150000</v>
      </c>
      <c r="CF12" s="129">
        <f t="shared" si="25"/>
        <v>150000</v>
      </c>
      <c r="CG12" s="129">
        <f t="shared" si="25"/>
        <v>150000</v>
      </c>
      <c r="CH12" s="129">
        <f t="shared" si="25"/>
        <v>216666.66666666666</v>
      </c>
      <c r="CI12" s="241">
        <f>AVERAGE(CE12:CH12)</f>
        <v>166666.66666666666</v>
      </c>
      <c r="CJ12" s="129">
        <f t="shared" si="26"/>
        <v>250000</v>
      </c>
      <c r="CK12" s="129">
        <f t="shared" si="26"/>
        <v>466666.66666666669</v>
      </c>
      <c r="CL12" s="129">
        <f t="shared" si="26"/>
        <v>583333.33333333337</v>
      </c>
      <c r="CM12" s="129">
        <f t="shared" si="26"/>
        <v>750000</v>
      </c>
      <c r="CN12" s="241">
        <f>AVERAGE(CJ12:CM12)</f>
        <v>512500</v>
      </c>
    </row>
    <row r="13" spans="1:93" outlineLevel="1" x14ac:dyDescent="0.3">
      <c r="A13" s="537" t="s">
        <v>120</v>
      </c>
      <c r="B13" s="549"/>
      <c r="C13" s="550"/>
      <c r="D13" s="159"/>
      <c r="E13" s="159">
        <f>E9+D9*0.8</f>
        <v>12489</v>
      </c>
      <c r="F13" s="159">
        <f>F9+E9*0.5+D9*0.5^2</f>
        <v>14369.5</v>
      </c>
      <c r="G13" s="159">
        <f>G9+F9*0.8+E9*0.8^2+D9*0.8^3</f>
        <v>22617.960000000003</v>
      </c>
      <c r="H13" s="159">
        <f>H9+G9*0.8+F9*0.8^2+E9*0.8^3</f>
        <v>26219.368000000002</v>
      </c>
      <c r="I13" s="159">
        <f>I9+H9*0.8+G9*0.8^2+F9*0.8^3+E9*0.8^4+D9*0.8^5</f>
        <v>29100.494400000003</v>
      </c>
      <c r="J13" s="159">
        <f>J9+I9*0.8+H9*0.8^2+G9*0.8^3+F9*0.8^4+E9*0.8^5+D9*0.8^6</f>
        <v>31405.395520000002</v>
      </c>
      <c r="K13" s="159">
        <f>K9+J9*0.8+I9*0.8^2+H9*0.8^3+G9*0.8^4+F9*0.8^5+E9*0.8^6</f>
        <v>33249.316416000001</v>
      </c>
      <c r="L13" s="159">
        <f>L9+K9*0.8+J9*0.8^2+I9*0.8^3+H9*0.8^4+G9*0.8^5+F9*0.8^6+E9*0.8^7</f>
        <v>34724.453132800008</v>
      </c>
      <c r="M13" s="159">
        <f>M9+L9*0.8+K9*0.8^2+J9*0.8^3+I9*0.8^4+H9*0.8^5+G9*0.8^6+F9*0.8^7+E9*0.8^8</f>
        <v>35904.562506240007</v>
      </c>
      <c r="N13" s="159">
        <f>N9+M9*0.8+L9*0.8^2+K9*0.8^3+J9*0.8^4+I9*0.8^5+H9*0.8^6+G9*0.8^7+F9*0.8^8+E9*0.8^9</f>
        <v>38306.650004992007</v>
      </c>
      <c r="O13" s="159">
        <f>O9+N9*0.8+M9*0.8^2+L9*0.8^3+K9*0.8^4+J9*0.8^5+I9*0.8^6+H9*0.8^7+G9*0.8^8+F9*0.8^9+E9*0.8^10</f>
        <v>40228.320003993605</v>
      </c>
      <c r="P13" s="159">
        <f>P9+O9*0.8+N9*0.8^2+M9*0.8^3+L9*0.8^4+K9*0.8^5+J9*0.8^6+I9*0.8^7+H9*0.8^8+G9*0.8^9+F9*0.8^10+E9*0.8^11</f>
        <v>41765.65600319489</v>
      </c>
      <c r="Q13" s="159">
        <f>Q9+P9*0.8+O9*0.8^2+N9*0.8^3+M9*0.8^4+L9*0.8^5+K9*0.8^6+J9*0.8^7+I9*0.8^8+H9*0.8^9+G9*0.8^10+F9*0.8^11+E9*0.8^12</f>
        <v>42995.524802555912</v>
      </c>
      <c r="R13" s="159">
        <f>R9+Q9*0.8+P9*0.8^2+O9*0.8^3+N9*0.8^4+M9*0.8^5+L9*0.8^6+K9*0.8^7+J9*0.8^8+I9*0.8^9+H9*0.8^10+G9*0.8^11+F9*0.8^12+E9*0.8^13</f>
        <v>43979.419842044736</v>
      </c>
      <c r="S13" s="159">
        <f>S9+R9*0.8+Q9*0.8^2+P9*0.8^3+O9*0.8^4+N9*0.8^5+M9*0.8^6+L9*0.8^7+K9*0.8^8+J9*0.8^9+I9*0.8^10+H9*0.8^11+G9*0.8^12+F9*0.8^13+E9*0.8^14</f>
        <v>44766.535873635788</v>
      </c>
      <c r="T13" s="159">
        <f t="shared" ref="T13:BI13" si="27">ROUND(T9+S9*0.8+R9*0.8^2+Q9*0.8^3+P9*0.8^4+O9*0.8^5+N9*0.8^6+M9*0.8^7+L9*0.8^8+K9*0.8^9+J9*0.8^10+I9*0.8^11+H9*0.8^12+G9*0.8^13+F9*0.8^14+E9*0.8^15,0)</f>
        <v>45396</v>
      </c>
      <c r="U13" s="159">
        <f t="shared" si="27"/>
        <v>45548</v>
      </c>
      <c r="V13" s="159">
        <f t="shared" si="27"/>
        <v>45793</v>
      </c>
      <c r="W13" s="159">
        <f t="shared" si="27"/>
        <v>45989</v>
      </c>
      <c r="X13" s="159">
        <f t="shared" si="27"/>
        <v>46145</v>
      </c>
      <c r="Y13" s="159">
        <f t="shared" si="27"/>
        <v>46271</v>
      </c>
      <c r="Z13" s="159">
        <f t="shared" si="27"/>
        <v>45226</v>
      </c>
      <c r="AA13" s="159">
        <f t="shared" si="27"/>
        <v>44390</v>
      </c>
      <c r="AB13" s="159">
        <f t="shared" si="27"/>
        <v>43721</v>
      </c>
      <c r="AC13" s="159">
        <f t="shared" si="27"/>
        <v>43186</v>
      </c>
      <c r="AD13" s="159">
        <f t="shared" si="27"/>
        <v>42717</v>
      </c>
      <c r="AE13" s="159">
        <f t="shared" si="27"/>
        <v>42342</v>
      </c>
      <c r="AF13" s="159">
        <f t="shared" si="27"/>
        <v>42042</v>
      </c>
      <c r="AG13" s="159">
        <f t="shared" si="27"/>
        <v>41802</v>
      </c>
      <c r="AH13" s="159">
        <f t="shared" si="27"/>
        <v>41610</v>
      </c>
      <c r="AI13" s="159">
        <f t="shared" si="27"/>
        <v>41456</v>
      </c>
      <c r="AJ13" s="159">
        <f t="shared" si="27"/>
        <v>41333</v>
      </c>
      <c r="AK13" s="159">
        <f t="shared" si="27"/>
        <v>41235</v>
      </c>
      <c r="AL13" s="159">
        <f t="shared" si="27"/>
        <v>41572</v>
      </c>
      <c r="AM13" s="159">
        <f t="shared" si="27"/>
        <v>41842</v>
      </c>
      <c r="AN13" s="159">
        <f t="shared" si="27"/>
        <v>42058</v>
      </c>
      <c r="AO13" s="159">
        <f t="shared" si="27"/>
        <v>42230</v>
      </c>
      <c r="AP13" s="159">
        <f t="shared" si="27"/>
        <v>42401</v>
      </c>
      <c r="AQ13" s="159">
        <f t="shared" si="27"/>
        <v>42537</v>
      </c>
      <c r="AR13" s="159">
        <f t="shared" si="27"/>
        <v>42646</v>
      </c>
      <c r="AS13" s="159">
        <f t="shared" si="27"/>
        <v>42733</v>
      </c>
      <c r="AT13" s="159">
        <f t="shared" si="27"/>
        <v>42803</v>
      </c>
      <c r="AU13" s="159">
        <f t="shared" si="27"/>
        <v>42859</v>
      </c>
      <c r="AV13" s="159">
        <f t="shared" si="27"/>
        <v>42904</v>
      </c>
      <c r="AW13" s="159">
        <f t="shared" si="27"/>
        <v>42940</v>
      </c>
      <c r="AX13" s="159">
        <f t="shared" si="27"/>
        <v>42447</v>
      </c>
      <c r="AY13" s="159">
        <f t="shared" si="27"/>
        <v>42053</v>
      </c>
      <c r="AZ13" s="159">
        <f t="shared" si="27"/>
        <v>41738</v>
      </c>
      <c r="BA13" s="159">
        <f t="shared" si="27"/>
        <v>41486</v>
      </c>
      <c r="BB13" s="159">
        <f t="shared" si="27"/>
        <v>41273</v>
      </c>
      <c r="BC13" s="159">
        <f t="shared" si="27"/>
        <v>41102</v>
      </c>
      <c r="BD13" s="159">
        <f t="shared" si="27"/>
        <v>40965</v>
      </c>
      <c r="BE13" s="159">
        <f t="shared" si="27"/>
        <v>40856</v>
      </c>
      <c r="BF13" s="159">
        <f t="shared" si="27"/>
        <v>40769</v>
      </c>
      <c r="BG13" s="159">
        <f t="shared" si="27"/>
        <v>40699</v>
      </c>
      <c r="BH13" s="159">
        <f t="shared" si="27"/>
        <v>40643</v>
      </c>
      <c r="BI13" s="159">
        <f t="shared" si="27"/>
        <v>40598</v>
      </c>
      <c r="BJ13" s="159"/>
      <c r="BK13" s="192"/>
      <c r="BL13" s="162"/>
      <c r="BM13" s="162"/>
      <c r="BN13" s="162">
        <f>SUMIF($B$3:$BI$3,BN$4,$B13:$BI13)</f>
        <v>0</v>
      </c>
      <c r="BO13" s="242">
        <f t="shared" si="22"/>
        <v>0</v>
      </c>
      <c r="BP13" s="162">
        <f t="shared" si="22"/>
        <v>0</v>
      </c>
      <c r="BQ13" s="162">
        <f t="shared" si="22"/>
        <v>16492.153333333335</v>
      </c>
      <c r="BR13" s="162">
        <f t="shared" si="22"/>
        <v>28908.419306666667</v>
      </c>
      <c r="BS13" s="162">
        <f t="shared" si="22"/>
        <v>34626.110685013344</v>
      </c>
      <c r="BT13" s="242">
        <f>AVERAGE(BP13:BS13)</f>
        <v>20006.670831253337</v>
      </c>
      <c r="BU13" s="162">
        <f t="shared" si="23"/>
        <v>40100.208670726832</v>
      </c>
      <c r="BV13" s="162">
        <f t="shared" si="23"/>
        <v>43913.826839412148</v>
      </c>
      <c r="BW13" s="162">
        <f t="shared" si="23"/>
        <v>45579</v>
      </c>
      <c r="BX13" s="162">
        <f t="shared" si="23"/>
        <v>46135</v>
      </c>
      <c r="BY13" s="242">
        <f>AVERAGE(BU13:BX13)</f>
        <v>43932.008877534747</v>
      </c>
      <c r="BZ13" s="162">
        <f t="shared" si="24"/>
        <v>44445.666666666664</v>
      </c>
      <c r="CA13" s="162">
        <f t="shared" si="24"/>
        <v>42748.333333333336</v>
      </c>
      <c r="CB13" s="162">
        <f t="shared" si="24"/>
        <v>41818</v>
      </c>
      <c r="CC13" s="162">
        <f t="shared" si="24"/>
        <v>41341.333333333336</v>
      </c>
      <c r="CD13" s="242">
        <f>AVERAGE(BZ13:CC13)</f>
        <v>42588.333333333336</v>
      </c>
      <c r="CE13" s="162">
        <f t="shared" si="25"/>
        <v>41824</v>
      </c>
      <c r="CF13" s="162">
        <f t="shared" si="25"/>
        <v>42389.333333333336</v>
      </c>
      <c r="CG13" s="162">
        <f t="shared" si="25"/>
        <v>42727.333333333336</v>
      </c>
      <c r="CH13" s="162">
        <f t="shared" si="25"/>
        <v>42901</v>
      </c>
      <c r="CI13" s="242">
        <f>AVERAGE(CE13:CH13)</f>
        <v>42460.416666666672</v>
      </c>
      <c r="CJ13" s="162">
        <f>SUMIF($B$3:$BI$3,CJ$4,$B13:$BI13)/3</f>
        <v>42079.333333333336</v>
      </c>
      <c r="CK13" s="162">
        <f t="shared" si="26"/>
        <v>41287</v>
      </c>
      <c r="CL13" s="162">
        <f t="shared" si="26"/>
        <v>40863.333333333336</v>
      </c>
      <c r="CM13" s="162">
        <f t="shared" si="26"/>
        <v>40646.666666666664</v>
      </c>
      <c r="CN13" s="242">
        <f>AVERAGE(CJ13:CM13)</f>
        <v>41219.083333333336</v>
      </c>
    </row>
    <row r="14" spans="1:93" x14ac:dyDescent="0.3">
      <c r="A14" s="536" t="s">
        <v>204</v>
      </c>
      <c r="B14" s="545"/>
      <c r="C14" s="546"/>
      <c r="D14" s="561">
        <f t="shared" ref="D14:AI14" si="28">ROUND(D11*D28,0)</f>
        <v>1071</v>
      </c>
      <c r="E14" s="156">
        <f t="shared" si="28"/>
        <v>27017</v>
      </c>
      <c r="F14" s="156">
        <f>ROUND(F11*F28,0)</f>
        <v>32285</v>
      </c>
      <c r="G14" s="156">
        <f t="shared" si="28"/>
        <v>50584</v>
      </c>
      <c r="H14" s="156">
        <f t="shared" si="28"/>
        <v>60546</v>
      </c>
      <c r="I14" s="156">
        <f t="shared" si="28"/>
        <v>67835</v>
      </c>
      <c r="J14" s="156">
        <f t="shared" si="28"/>
        <v>73047</v>
      </c>
      <c r="K14" s="156">
        <f t="shared" si="28"/>
        <v>77508</v>
      </c>
      <c r="L14" s="156">
        <f t="shared" si="28"/>
        <v>82659</v>
      </c>
      <c r="M14" s="156">
        <f t="shared" si="28"/>
        <v>87195</v>
      </c>
      <c r="N14" s="156">
        <f t="shared" si="28"/>
        <v>121324</v>
      </c>
      <c r="O14" s="156">
        <f t="shared" si="28"/>
        <v>125323</v>
      </c>
      <c r="P14" s="156">
        <f t="shared" si="28"/>
        <v>128522</v>
      </c>
      <c r="Q14" s="156">
        <f t="shared" si="28"/>
        <v>131081</v>
      </c>
      <c r="R14" s="156">
        <f t="shared" si="28"/>
        <v>195552</v>
      </c>
      <c r="S14" s="156">
        <f t="shared" si="28"/>
        <v>197190</v>
      </c>
      <c r="T14" s="156">
        <f t="shared" si="28"/>
        <v>198500</v>
      </c>
      <c r="U14" s="156">
        <f t="shared" si="28"/>
        <v>198816</v>
      </c>
      <c r="V14" s="156">
        <f t="shared" si="28"/>
        <v>199326</v>
      </c>
      <c r="W14" s="156">
        <f t="shared" si="28"/>
        <v>303774</v>
      </c>
      <c r="X14" s="156">
        <f t="shared" si="28"/>
        <v>304099</v>
      </c>
      <c r="Y14" s="156">
        <f t="shared" si="28"/>
        <v>304361</v>
      </c>
      <c r="Z14" s="156">
        <f t="shared" si="28"/>
        <v>302186</v>
      </c>
      <c r="AA14" s="156">
        <f t="shared" si="28"/>
        <v>300447</v>
      </c>
      <c r="AB14" s="156">
        <f t="shared" si="28"/>
        <v>299055</v>
      </c>
      <c r="AC14" s="156">
        <f t="shared" si="28"/>
        <v>297941</v>
      </c>
      <c r="AD14" s="156">
        <f t="shared" si="28"/>
        <v>296966</v>
      </c>
      <c r="AE14" s="156">
        <f t="shared" si="28"/>
        <v>296185</v>
      </c>
      <c r="AF14" s="156">
        <f t="shared" si="28"/>
        <v>295561</v>
      </c>
      <c r="AG14" s="156">
        <f t="shared" si="28"/>
        <v>295062</v>
      </c>
      <c r="AH14" s="156">
        <f t="shared" si="28"/>
        <v>294662</v>
      </c>
      <c r="AI14" s="156">
        <f t="shared" si="28"/>
        <v>294342</v>
      </c>
      <c r="AJ14" s="156">
        <f t="shared" ref="AJ14:BI14" si="29">ROUND(AJ11*AJ28,0)</f>
        <v>294086</v>
      </c>
      <c r="AK14" s="156">
        <f t="shared" si="29"/>
        <v>293882</v>
      </c>
      <c r="AL14" s="156">
        <f t="shared" si="29"/>
        <v>398623</v>
      </c>
      <c r="AM14" s="156">
        <f t="shared" si="29"/>
        <v>399185</v>
      </c>
      <c r="AN14" s="156">
        <f t="shared" si="29"/>
        <v>399634</v>
      </c>
      <c r="AO14" s="156">
        <f t="shared" si="29"/>
        <v>399992</v>
      </c>
      <c r="AP14" s="156">
        <f t="shared" si="29"/>
        <v>400348</v>
      </c>
      <c r="AQ14" s="156">
        <f t="shared" si="29"/>
        <v>400631</v>
      </c>
      <c r="AR14" s="156">
        <f t="shared" si="29"/>
        <v>400858</v>
      </c>
      <c r="AS14" s="156">
        <f t="shared" si="29"/>
        <v>401039</v>
      </c>
      <c r="AT14" s="156">
        <f t="shared" si="29"/>
        <v>401184</v>
      </c>
      <c r="AU14" s="156">
        <f t="shared" si="29"/>
        <v>401301</v>
      </c>
      <c r="AV14" s="156">
        <f t="shared" si="29"/>
        <v>609475</v>
      </c>
      <c r="AW14" s="156">
        <f t="shared" si="29"/>
        <v>609550</v>
      </c>
      <c r="AX14" s="156">
        <f t="shared" si="29"/>
        <v>608524</v>
      </c>
      <c r="AY14" s="156">
        <f t="shared" si="29"/>
        <v>607704</v>
      </c>
      <c r="AZ14" s="156">
        <f t="shared" si="29"/>
        <v>607048</v>
      </c>
      <c r="BA14" s="156">
        <f t="shared" si="29"/>
        <v>918644</v>
      </c>
      <c r="BB14" s="156">
        <f t="shared" si="29"/>
        <v>1126281</v>
      </c>
      <c r="BC14" s="156">
        <f t="shared" si="29"/>
        <v>1125925</v>
      </c>
      <c r="BD14" s="156">
        <f t="shared" si="29"/>
        <v>1580041</v>
      </c>
      <c r="BE14" s="156">
        <f t="shared" si="29"/>
        <v>2002911</v>
      </c>
      <c r="BF14" s="156">
        <f t="shared" si="29"/>
        <v>2406145</v>
      </c>
      <c r="BG14" s="156">
        <f t="shared" si="29"/>
        <v>2799515</v>
      </c>
      <c r="BH14" s="156">
        <f t="shared" si="29"/>
        <v>3191364</v>
      </c>
      <c r="BI14" s="156">
        <f t="shared" si="29"/>
        <v>3588941</v>
      </c>
      <c r="BJ14" s="149"/>
      <c r="BK14" s="164"/>
      <c r="BL14" s="129"/>
      <c r="BM14" s="129"/>
      <c r="BN14" s="129">
        <f>D14</f>
        <v>1071</v>
      </c>
      <c r="BO14" s="241">
        <f>ROUND(BO11*BO28,0)</f>
        <v>0</v>
      </c>
      <c r="BP14" s="129">
        <f>SUMIF($B$3:$BI$3,BP$4,$B$14:$BI$14)</f>
        <v>1071</v>
      </c>
      <c r="BQ14" s="129">
        <f>SUMIF($B$3:$BI$3,BQ$4,$B$14:$BI$14)</f>
        <v>109886</v>
      </c>
      <c r="BR14" s="129">
        <f>SUMIF($B$3:$BI$3,BR$4,$B$14:$BI$14)</f>
        <v>201428</v>
      </c>
      <c r="BS14" s="129">
        <f>SUMIF($B$3:$BI$3,BS$4,$B$14:$BI$14)</f>
        <v>247362</v>
      </c>
      <c r="BT14" s="241">
        <f>SUM(BP14:BS14)</f>
        <v>559747</v>
      </c>
      <c r="BU14" s="129">
        <f>SUMIF($B$3:$BI$3,BU$4,$B$14:$BI$14)</f>
        <v>375169</v>
      </c>
      <c r="BV14" s="129">
        <f>SUMIF($B$3:$BI$3,BV$4,$B$14:$BI$14)</f>
        <v>523823</v>
      </c>
      <c r="BW14" s="129">
        <f>SUMIF($B$3:$BI$3,BW$4,$B$14:$BI$14)</f>
        <v>596642</v>
      </c>
      <c r="BX14" s="129">
        <f>SUMIF($B$3:$BI$3,BX$4,$B$14:$BI$14)</f>
        <v>912234</v>
      </c>
      <c r="BY14" s="241">
        <f>SUM(BU14:BX14)</f>
        <v>2407868</v>
      </c>
      <c r="BZ14" s="129">
        <f>SUMIF($B$3:$BI$3,BZ$4,$B$14:$BI$14)</f>
        <v>901688</v>
      </c>
      <c r="CA14" s="129">
        <f>SUMIF($B$3:$BI$3,CA$4,$B$14:$BI$14)</f>
        <v>891092</v>
      </c>
      <c r="CB14" s="129">
        <f>SUMIF($B$3:$BI$3,CB$4,$B$14:$BI$14)</f>
        <v>885285</v>
      </c>
      <c r="CC14" s="129">
        <f>SUMIF($B$3:$BI$3,CC$4,$B$14:$BI$14)</f>
        <v>882310</v>
      </c>
      <c r="CD14" s="241">
        <f>SUM(BZ14:CC14)</f>
        <v>3560375</v>
      </c>
      <c r="CE14" s="129">
        <f>SUMIF($B$3:$BI$3,CE$4,$B$14:$BI$14)</f>
        <v>1197442</v>
      </c>
      <c r="CF14" s="129">
        <f>SUMIF($B$3:$BI$3,CF$4,$B$14:$BI$14)</f>
        <v>1200971</v>
      </c>
      <c r="CG14" s="129">
        <f>SUMIF($B$3:$BI$3,CG$4,$B$14:$BI$14)</f>
        <v>1203081</v>
      </c>
      <c r="CH14" s="129">
        <f>SUMIF($B$3:$BI$3,CH$4,$B$14:$BI$14)</f>
        <v>1620326</v>
      </c>
      <c r="CI14" s="241">
        <f>SUM(CE14:CH14)</f>
        <v>5221820</v>
      </c>
      <c r="CJ14" s="129">
        <f>SUMIF($B$3:$BI$3,CJ$4,$B$14:$BI$14)</f>
        <v>1823276</v>
      </c>
      <c r="CK14" s="129">
        <f>SUMIF($B$3:$BI$3,CK$4,$B$14:$BI$14)</f>
        <v>3170850</v>
      </c>
      <c r="CL14" s="129">
        <f>SUMIF($B$3:$BI$3,CL$4,$B$14:$BI$14)</f>
        <v>5989097</v>
      </c>
      <c r="CM14" s="129">
        <f>SUMIF($B$3:$BI$3,CM$4,$B$14:$BI$14)</f>
        <v>9579820</v>
      </c>
      <c r="CN14" s="241">
        <f>SUM(CJ14:CM14)</f>
        <v>20563043</v>
      </c>
    </row>
    <row r="15" spans="1:93" x14ac:dyDescent="0.3">
      <c r="A15" s="537" t="s">
        <v>205</v>
      </c>
      <c r="B15" s="549"/>
      <c r="C15" s="550"/>
      <c r="D15" s="563">
        <f t="shared" ref="D15:AI15" si="30">D16+D17</f>
        <v>5250</v>
      </c>
      <c r="E15" s="160">
        <f t="shared" si="30"/>
        <v>129840</v>
      </c>
      <c r="F15" s="160">
        <f t="shared" si="30"/>
        <v>155155</v>
      </c>
      <c r="G15" s="160">
        <f t="shared" si="30"/>
        <v>243099.60000000003</v>
      </c>
      <c r="H15" s="160">
        <f t="shared" si="30"/>
        <v>290973.68000000005</v>
      </c>
      <c r="I15" s="160">
        <f t="shared" si="30"/>
        <v>326004.94400000002</v>
      </c>
      <c r="J15" s="160">
        <f t="shared" si="30"/>
        <v>351053.95520000003</v>
      </c>
      <c r="K15" s="160">
        <f t="shared" si="30"/>
        <v>372493.16416000004</v>
      </c>
      <c r="L15" s="160">
        <f t="shared" si="30"/>
        <v>397244.53132800007</v>
      </c>
      <c r="M15" s="160">
        <f t="shared" si="30"/>
        <v>419045.62506240007</v>
      </c>
      <c r="N15" s="160">
        <f t="shared" si="30"/>
        <v>583066.50004992005</v>
      </c>
      <c r="O15" s="160">
        <f t="shared" si="30"/>
        <v>602283.200039936</v>
      </c>
      <c r="P15" s="160">
        <f t="shared" si="30"/>
        <v>617656.56003194884</v>
      </c>
      <c r="Q15" s="160">
        <f t="shared" si="30"/>
        <v>629955.24802555912</v>
      </c>
      <c r="R15" s="160">
        <f t="shared" si="30"/>
        <v>939794.1984204473</v>
      </c>
      <c r="S15" s="160">
        <f t="shared" si="30"/>
        <v>947665.35873635788</v>
      </c>
      <c r="T15" s="160">
        <f t="shared" si="30"/>
        <v>953960</v>
      </c>
      <c r="U15" s="160">
        <f t="shared" si="30"/>
        <v>955480</v>
      </c>
      <c r="V15" s="160">
        <f t="shared" si="30"/>
        <v>957930</v>
      </c>
      <c r="W15" s="160">
        <f t="shared" si="30"/>
        <v>1459890</v>
      </c>
      <c r="X15" s="160">
        <f t="shared" si="30"/>
        <v>1461450</v>
      </c>
      <c r="Y15" s="160">
        <f t="shared" si="30"/>
        <v>1462710</v>
      </c>
      <c r="Z15" s="160">
        <f t="shared" si="30"/>
        <v>1452260</v>
      </c>
      <c r="AA15" s="160">
        <f t="shared" si="30"/>
        <v>1443900</v>
      </c>
      <c r="AB15" s="160">
        <f t="shared" si="30"/>
        <v>1437210</v>
      </c>
      <c r="AC15" s="160">
        <f t="shared" si="30"/>
        <v>1431860</v>
      </c>
      <c r="AD15" s="160">
        <f t="shared" si="30"/>
        <v>1427170</v>
      </c>
      <c r="AE15" s="160">
        <f t="shared" si="30"/>
        <v>1423420</v>
      </c>
      <c r="AF15" s="160">
        <f t="shared" si="30"/>
        <v>1420420</v>
      </c>
      <c r="AG15" s="160">
        <f t="shared" si="30"/>
        <v>1418020</v>
      </c>
      <c r="AH15" s="160">
        <f t="shared" si="30"/>
        <v>1416100</v>
      </c>
      <c r="AI15" s="160">
        <f t="shared" si="30"/>
        <v>1414560</v>
      </c>
      <c r="AJ15" s="160">
        <f t="shared" ref="AJ15:BI15" si="31">AJ16+AJ17</f>
        <v>1413330</v>
      </c>
      <c r="AK15" s="160">
        <f t="shared" si="31"/>
        <v>1412350</v>
      </c>
      <c r="AL15" s="160">
        <f t="shared" si="31"/>
        <v>1915720</v>
      </c>
      <c r="AM15" s="160">
        <f t="shared" si="31"/>
        <v>1918420</v>
      </c>
      <c r="AN15" s="160">
        <f>AN16+AN17</f>
        <v>1920580</v>
      </c>
      <c r="AO15" s="160">
        <f t="shared" si="31"/>
        <v>1922300</v>
      </c>
      <c r="AP15" s="160">
        <f t="shared" si="31"/>
        <v>1924010</v>
      </c>
      <c r="AQ15" s="160">
        <f t="shared" si="31"/>
        <v>1925370</v>
      </c>
      <c r="AR15" s="160">
        <f t="shared" si="31"/>
        <v>1926460</v>
      </c>
      <c r="AS15" s="160">
        <f t="shared" si="31"/>
        <v>1927330</v>
      </c>
      <c r="AT15" s="160">
        <f t="shared" si="31"/>
        <v>1928030</v>
      </c>
      <c r="AU15" s="160">
        <f t="shared" si="31"/>
        <v>1928590</v>
      </c>
      <c r="AV15" s="160">
        <f t="shared" si="31"/>
        <v>2929040</v>
      </c>
      <c r="AW15" s="160">
        <f t="shared" si="31"/>
        <v>2929400</v>
      </c>
      <c r="AX15" s="160">
        <f t="shared" si="31"/>
        <v>2924470</v>
      </c>
      <c r="AY15" s="160">
        <f t="shared" si="31"/>
        <v>2920530</v>
      </c>
      <c r="AZ15" s="160">
        <f t="shared" si="31"/>
        <v>2917380</v>
      </c>
      <c r="BA15" s="160">
        <f t="shared" si="31"/>
        <v>4414860</v>
      </c>
      <c r="BB15" s="160">
        <f t="shared" si="31"/>
        <v>5412730</v>
      </c>
      <c r="BC15" s="160">
        <f t="shared" si="31"/>
        <v>5411020</v>
      </c>
      <c r="BD15" s="160">
        <f t="shared" si="31"/>
        <v>5409650</v>
      </c>
      <c r="BE15" s="160">
        <f t="shared" si="31"/>
        <v>5408560</v>
      </c>
      <c r="BF15" s="160">
        <f t="shared" si="31"/>
        <v>7907690</v>
      </c>
      <c r="BG15" s="160">
        <f t="shared" si="31"/>
        <v>7906990</v>
      </c>
      <c r="BH15" s="160">
        <f t="shared" si="31"/>
        <v>7906430</v>
      </c>
      <c r="BI15" s="160">
        <f t="shared" si="31"/>
        <v>7905980</v>
      </c>
      <c r="BJ15" s="160"/>
      <c r="BK15" s="165"/>
      <c r="BL15" s="161"/>
      <c r="BM15" s="161"/>
      <c r="BN15" s="161">
        <f>SUMIF($B$3:$BI$3,BN$4,$B$15:$BI$15)</f>
        <v>0</v>
      </c>
      <c r="BO15" s="243">
        <f>SUM(BK15:BN15)</f>
        <v>0</v>
      </c>
      <c r="BP15" s="161">
        <f>SUMIF($B$3:$BI$3,BP$4,$B$15:$BI$15)</f>
        <v>5250</v>
      </c>
      <c r="BQ15" s="161">
        <f>SUMIF($B$3:$BI$3,BQ$4,$B$15:$BI$15)</f>
        <v>528094.60000000009</v>
      </c>
      <c r="BR15" s="161">
        <f>SUMIF($B$3:$BI$3,BR$4,$B$15:$BI$15)</f>
        <v>968032.57920000004</v>
      </c>
      <c r="BS15" s="161">
        <f>SUMIF($B$3:$BI$3,BS$4,$B$15:$BI$15)</f>
        <v>1188783.3205504001</v>
      </c>
      <c r="BT15" s="566">
        <f>SUM(BP15:BS15)</f>
        <v>2690160.4997504</v>
      </c>
      <c r="BU15" s="567">
        <f>SUM(N15:P15)</f>
        <v>1803006.2601218049</v>
      </c>
      <c r="BV15" s="567">
        <f>SUM(Q15:S15)</f>
        <v>2517414.8051823643</v>
      </c>
      <c r="BW15" s="567">
        <f>SUMIF($B$3:$BI$3,BW$4,$B$15:$BI$15)</f>
        <v>2867370</v>
      </c>
      <c r="BX15" s="567">
        <f>SUMIF($B$3:$BI$3,BX$4,$B$15:$BI$15)</f>
        <v>4384050</v>
      </c>
      <c r="BY15" s="566">
        <f>SUM(BU15:BX15)</f>
        <v>11571841.065304169</v>
      </c>
      <c r="BZ15" s="567">
        <f>SUMIF($B$3:$BI$3,BZ$4,$B$15:$BI$15)</f>
        <v>4333370</v>
      </c>
      <c r="CA15" s="567">
        <f>SUMIF($B$3:$BI$3,CA$4,$B$15:$BI$15)</f>
        <v>4282450</v>
      </c>
      <c r="CB15" s="567">
        <f>SUMIF($B$3:$BI$3,CB$4,$B$15:$BI$15)</f>
        <v>4254540</v>
      </c>
      <c r="CC15" s="567">
        <f>SUM(AI15:AK15)</f>
        <v>4240240</v>
      </c>
      <c r="CD15" s="566">
        <f>SUM(BZ15:CC15)</f>
        <v>17110600</v>
      </c>
      <c r="CE15" s="567">
        <f>SUMIF($B$3:$BI$3,CE$4,$B$15:$BI$15)</f>
        <v>5754720</v>
      </c>
      <c r="CF15" s="567">
        <f>SUMIF($B$3:$BI$3,CF$4,$B$15:$BI$15)</f>
        <v>5771680</v>
      </c>
      <c r="CG15" s="567">
        <f>SUMIF($B$3:$BI$3,CG$4,$B$15:$BI$15)</f>
        <v>5781820</v>
      </c>
      <c r="CH15" s="567">
        <f>SUMIF($B$3:$BI$3,CH$4,$B$15:$BI$15)</f>
        <v>7787030</v>
      </c>
      <c r="CI15" s="566">
        <f>SUM(CE15:CH15)</f>
        <v>25095250</v>
      </c>
      <c r="CJ15" s="567">
        <f>SUM(AX15:AZ15)</f>
        <v>8762380</v>
      </c>
      <c r="CK15" s="567">
        <f>SUMIF($B$3:$BI$3,CK$4,$B$15:$BI$15)</f>
        <v>15238610</v>
      </c>
      <c r="CL15" s="567">
        <f>SUMIF($B$3:$BI$3,CL$4,$B$15:$BI$15)</f>
        <v>18725900</v>
      </c>
      <c r="CM15" s="567">
        <f>SUMIF($B$3:$BI$3,CM$4,$B$15:$BI$15)</f>
        <v>23719400</v>
      </c>
      <c r="CN15" s="566">
        <f>SUM(CJ15:CM15)</f>
        <v>66446290</v>
      </c>
    </row>
    <row r="16" spans="1:93" outlineLevel="1" x14ac:dyDescent="0.3">
      <c r="A16" s="534" t="s">
        <v>125</v>
      </c>
      <c r="B16" s="547"/>
      <c r="C16" s="547"/>
      <c r="D16" s="238">
        <f t="shared" ref="D16:AI16" si="32">D12*$B$34</f>
        <v>5250</v>
      </c>
      <c r="E16" s="398">
        <f t="shared" si="32"/>
        <v>4950</v>
      </c>
      <c r="F16" s="398">
        <f t="shared" si="32"/>
        <v>11460</v>
      </c>
      <c r="G16" s="398">
        <f t="shared" si="32"/>
        <v>16920</v>
      </c>
      <c r="H16" s="398">
        <f t="shared" si="32"/>
        <v>28780</v>
      </c>
      <c r="I16" s="398">
        <f t="shared" si="32"/>
        <v>35000</v>
      </c>
      <c r="J16" s="398">
        <f t="shared" si="32"/>
        <v>37000</v>
      </c>
      <c r="K16" s="398">
        <f t="shared" si="32"/>
        <v>40000</v>
      </c>
      <c r="L16" s="398">
        <f t="shared" si="32"/>
        <v>50000</v>
      </c>
      <c r="M16" s="398">
        <f t="shared" si="32"/>
        <v>60000</v>
      </c>
      <c r="N16" s="398">
        <f t="shared" si="32"/>
        <v>200000</v>
      </c>
      <c r="O16" s="398">
        <f t="shared" si="32"/>
        <v>200000</v>
      </c>
      <c r="P16" s="398">
        <f t="shared" si="32"/>
        <v>200000</v>
      </c>
      <c r="Q16" s="398">
        <f t="shared" si="32"/>
        <v>200000</v>
      </c>
      <c r="R16" s="398">
        <f t="shared" si="32"/>
        <v>500000</v>
      </c>
      <c r="S16" s="398">
        <f t="shared" si="32"/>
        <v>500000</v>
      </c>
      <c r="T16" s="398">
        <f t="shared" si="32"/>
        <v>500000</v>
      </c>
      <c r="U16" s="398">
        <f t="shared" si="32"/>
        <v>500000</v>
      </c>
      <c r="V16" s="398">
        <f t="shared" si="32"/>
        <v>500000</v>
      </c>
      <c r="W16" s="398">
        <f t="shared" si="32"/>
        <v>1000000</v>
      </c>
      <c r="X16" s="398">
        <f t="shared" si="32"/>
        <v>1000000</v>
      </c>
      <c r="Y16" s="398">
        <f t="shared" si="32"/>
        <v>1000000</v>
      </c>
      <c r="Z16" s="398">
        <f t="shared" si="32"/>
        <v>1000000</v>
      </c>
      <c r="AA16" s="398">
        <f t="shared" si="32"/>
        <v>1000000</v>
      </c>
      <c r="AB16" s="398">
        <f t="shared" si="32"/>
        <v>1000000</v>
      </c>
      <c r="AC16" s="398">
        <f t="shared" si="32"/>
        <v>1000000</v>
      </c>
      <c r="AD16" s="398">
        <f t="shared" si="32"/>
        <v>1000000</v>
      </c>
      <c r="AE16" s="398">
        <f t="shared" si="32"/>
        <v>1000000</v>
      </c>
      <c r="AF16" s="398">
        <f t="shared" si="32"/>
        <v>1000000</v>
      </c>
      <c r="AG16" s="398">
        <f t="shared" si="32"/>
        <v>1000000</v>
      </c>
      <c r="AH16" s="398">
        <f t="shared" si="32"/>
        <v>1000000</v>
      </c>
      <c r="AI16" s="398">
        <f t="shared" si="32"/>
        <v>1000000</v>
      </c>
      <c r="AJ16" s="398">
        <f t="shared" ref="AJ16:BI16" si="33">AJ12*$B$34</f>
        <v>1000000</v>
      </c>
      <c r="AK16" s="398">
        <f t="shared" si="33"/>
        <v>1000000</v>
      </c>
      <c r="AL16" s="398">
        <f t="shared" si="33"/>
        <v>1500000</v>
      </c>
      <c r="AM16" s="398">
        <f t="shared" si="33"/>
        <v>1500000</v>
      </c>
      <c r="AN16" s="398">
        <f t="shared" si="33"/>
        <v>1500000</v>
      </c>
      <c r="AO16" s="398">
        <f t="shared" si="33"/>
        <v>1500000</v>
      </c>
      <c r="AP16" s="398">
        <f t="shared" si="33"/>
        <v>1500000</v>
      </c>
      <c r="AQ16" s="398">
        <f t="shared" si="33"/>
        <v>1500000</v>
      </c>
      <c r="AR16" s="398">
        <f t="shared" si="33"/>
        <v>1500000</v>
      </c>
      <c r="AS16" s="398">
        <f t="shared" si="33"/>
        <v>1500000</v>
      </c>
      <c r="AT16" s="398">
        <f t="shared" si="33"/>
        <v>1500000</v>
      </c>
      <c r="AU16" s="398">
        <f t="shared" si="33"/>
        <v>1500000</v>
      </c>
      <c r="AV16" s="398">
        <f t="shared" si="33"/>
        <v>2500000</v>
      </c>
      <c r="AW16" s="398">
        <f t="shared" si="33"/>
        <v>2500000</v>
      </c>
      <c r="AX16" s="398">
        <f t="shared" si="33"/>
        <v>2500000</v>
      </c>
      <c r="AY16" s="398">
        <f t="shared" si="33"/>
        <v>2500000</v>
      </c>
      <c r="AZ16" s="398">
        <f t="shared" si="33"/>
        <v>2500000</v>
      </c>
      <c r="BA16" s="398">
        <f t="shared" si="33"/>
        <v>4000000</v>
      </c>
      <c r="BB16" s="398">
        <f t="shared" si="33"/>
        <v>5000000</v>
      </c>
      <c r="BC16" s="398">
        <f t="shared" si="33"/>
        <v>5000000</v>
      </c>
      <c r="BD16" s="398">
        <f t="shared" si="33"/>
        <v>5000000</v>
      </c>
      <c r="BE16" s="398">
        <f t="shared" si="33"/>
        <v>5000000</v>
      </c>
      <c r="BF16" s="398">
        <f t="shared" si="33"/>
        <v>7500000</v>
      </c>
      <c r="BG16" s="398">
        <f t="shared" si="33"/>
        <v>7500000</v>
      </c>
      <c r="BH16" s="398">
        <f t="shared" si="33"/>
        <v>7500000</v>
      </c>
      <c r="BI16" s="398">
        <f t="shared" si="33"/>
        <v>7500000</v>
      </c>
      <c r="BJ16" s="151"/>
      <c r="BK16" s="166">
        <f>SUMIF($B$3:$BI$3,BK$4,$B$16:$BI$16)</f>
        <v>0</v>
      </c>
      <c r="BL16" s="158">
        <f>SUMIF($B$3:$BI$3,BL$4,$B$16:$BI$16)</f>
        <v>0</v>
      </c>
      <c r="BM16" s="158">
        <f>SUMIF($B$3:$BI$3,BM$4,$B$16:$BI$16)</f>
        <v>0</v>
      </c>
      <c r="BN16" s="158">
        <f>SUMIF($B$3:$BI$3,BN$4,$B$16:$BI$16)</f>
        <v>0</v>
      </c>
      <c r="BO16" s="244">
        <f>SUM(BK16:BN16)</f>
        <v>0</v>
      </c>
      <c r="BP16" s="158">
        <f>SUMIF($B$3:$BI$3,BP$4,$B$16:$BI$16)</f>
        <v>5250</v>
      </c>
      <c r="BQ16" s="158">
        <f>SUMIF($B$3:$BI$3,BQ$4,$B$16:$BI$16)</f>
        <v>33330</v>
      </c>
      <c r="BR16" s="158">
        <f>SUMIF($B$3:$BI$3,BR$4,$B$16:$BI$16)</f>
        <v>100780</v>
      </c>
      <c r="BS16" s="158">
        <f>SUMIF($B$3:$BI$3,BS$4,$B$16:$BI$16)</f>
        <v>150000</v>
      </c>
      <c r="BT16" s="244">
        <f>SUM(BP16:BS16)</f>
        <v>289360</v>
      </c>
      <c r="BU16" s="158">
        <f>SUMIF($B$3:$BI$3,BU$4,$B16:$BI16)</f>
        <v>600000</v>
      </c>
      <c r="BV16" s="158">
        <f>SUMIF($B$3:$BI$3,BV$4,$B$16:$BI$16)</f>
        <v>1200000</v>
      </c>
      <c r="BW16" s="158">
        <f>SUMIF($B$3:$BI$3,BW$4,$B$16:$BI$16)</f>
        <v>1500000</v>
      </c>
      <c r="BX16" s="158">
        <f>SUMIF($B$3:$BI$3,BX$4,$B$16:$BI$16)</f>
        <v>3000000</v>
      </c>
      <c r="BY16" s="245">
        <f>SUM(BU16:BX16)</f>
        <v>6300000</v>
      </c>
      <c r="BZ16" s="193">
        <f>SUMIF($B$3:$BI$3,BZ$4,$B$16:$BI$16)</f>
        <v>3000000</v>
      </c>
      <c r="CA16" s="193">
        <f>SUMIF($B$3:$BI$3,CA$4,$B$16:$BI$16)</f>
        <v>3000000</v>
      </c>
      <c r="CB16" s="193">
        <f>SUMIF($B$3:$BI$3,CB$4,$B$16:$BI$16)</f>
        <v>3000000</v>
      </c>
      <c r="CC16" s="193">
        <f>SUMIF($B$3:$BI$3,CC$4,$B$16:$BI$16)</f>
        <v>3000000</v>
      </c>
      <c r="CD16" s="244">
        <f>SUM(BZ16:CC16)</f>
        <v>12000000</v>
      </c>
      <c r="CE16" s="158">
        <f>SUMIF($B$3:$BI$3,CE$4,$B$16:$BI$16)</f>
        <v>4500000</v>
      </c>
      <c r="CF16" s="158">
        <f>SUMIF($B$3:$BI$3,CF$4,$B$16:$BI$16)</f>
        <v>4500000</v>
      </c>
      <c r="CG16" s="158">
        <f>SUMIF($B$3:$BI$3,CG$4,$B$16:$BI$16)</f>
        <v>4500000</v>
      </c>
      <c r="CH16" s="158">
        <f>SUMIF($B$3:$BI$3,CH$4,$B$16:$BI$16)</f>
        <v>6500000</v>
      </c>
      <c r="CI16" s="244">
        <f>SUM(CE16:CH16)</f>
        <v>20000000</v>
      </c>
      <c r="CJ16" s="158">
        <f>SUMIF($B$3:$BI$3,CJ$4,$B$16:$BI$16)</f>
        <v>7500000</v>
      </c>
      <c r="CK16" s="158">
        <f>SUMIF($B$3:$BI$3,CK$4,$B$16:$BI$16)</f>
        <v>14000000</v>
      </c>
      <c r="CL16" s="158">
        <f>SUMIF($B$3:$BI$3,CL$4,$B$16:$BI$16)</f>
        <v>17500000</v>
      </c>
      <c r="CM16" s="158">
        <f>SUMIF($B$3:$BI$3,CM$4,$B$16:$BI$16)</f>
        <v>22500000</v>
      </c>
      <c r="CN16" s="244">
        <f>SUM(CJ16:CM16)</f>
        <v>61500000</v>
      </c>
    </row>
    <row r="17" spans="1:93" ht="15" outlineLevel="1" thickBot="1" x14ac:dyDescent="0.35">
      <c r="A17" s="539" t="s">
        <v>126</v>
      </c>
      <c r="B17" s="551"/>
      <c r="C17" s="551"/>
      <c r="D17" s="540">
        <f t="shared" ref="D17:AI17" si="34">D13*$B$34</f>
        <v>0</v>
      </c>
      <c r="E17" s="540">
        <f t="shared" si="34"/>
        <v>124890</v>
      </c>
      <c r="F17" s="540">
        <f t="shared" si="34"/>
        <v>143695</v>
      </c>
      <c r="G17" s="540">
        <f t="shared" si="34"/>
        <v>226179.60000000003</v>
      </c>
      <c r="H17" s="540">
        <f t="shared" si="34"/>
        <v>262193.68000000005</v>
      </c>
      <c r="I17" s="540">
        <f t="shared" si="34"/>
        <v>291004.94400000002</v>
      </c>
      <c r="J17" s="540">
        <f t="shared" si="34"/>
        <v>314053.95520000003</v>
      </c>
      <c r="K17" s="540">
        <f t="shared" si="34"/>
        <v>332493.16416000004</v>
      </c>
      <c r="L17" s="540">
        <f t="shared" si="34"/>
        <v>347244.53132800007</v>
      </c>
      <c r="M17" s="540">
        <f t="shared" si="34"/>
        <v>359045.62506240007</v>
      </c>
      <c r="N17" s="540">
        <f t="shared" si="34"/>
        <v>383066.50004992005</v>
      </c>
      <c r="O17" s="540">
        <f t="shared" si="34"/>
        <v>402283.20003993605</v>
      </c>
      <c r="P17" s="540">
        <f t="shared" si="34"/>
        <v>417656.5600319489</v>
      </c>
      <c r="Q17" s="540">
        <f t="shared" si="34"/>
        <v>429955.24802555912</v>
      </c>
      <c r="R17" s="540">
        <f t="shared" si="34"/>
        <v>439794.19842044736</v>
      </c>
      <c r="S17" s="540">
        <f t="shared" si="34"/>
        <v>447665.35873635788</v>
      </c>
      <c r="T17" s="540">
        <f t="shared" si="34"/>
        <v>453960</v>
      </c>
      <c r="U17" s="540">
        <f t="shared" si="34"/>
        <v>455480</v>
      </c>
      <c r="V17" s="540">
        <f t="shared" si="34"/>
        <v>457930</v>
      </c>
      <c r="W17" s="540">
        <f t="shared" si="34"/>
        <v>459890</v>
      </c>
      <c r="X17" s="540">
        <f t="shared" si="34"/>
        <v>461450</v>
      </c>
      <c r="Y17" s="540">
        <f t="shared" si="34"/>
        <v>462710</v>
      </c>
      <c r="Z17" s="540">
        <f t="shared" si="34"/>
        <v>452260</v>
      </c>
      <c r="AA17" s="540">
        <f t="shared" si="34"/>
        <v>443900</v>
      </c>
      <c r="AB17" s="540">
        <f t="shared" si="34"/>
        <v>437210</v>
      </c>
      <c r="AC17" s="540">
        <f t="shared" si="34"/>
        <v>431860</v>
      </c>
      <c r="AD17" s="540">
        <f t="shared" si="34"/>
        <v>427170</v>
      </c>
      <c r="AE17" s="540">
        <f t="shared" si="34"/>
        <v>423420</v>
      </c>
      <c r="AF17" s="540">
        <f t="shared" si="34"/>
        <v>420420</v>
      </c>
      <c r="AG17" s="540">
        <f t="shared" si="34"/>
        <v>418020</v>
      </c>
      <c r="AH17" s="540">
        <f t="shared" si="34"/>
        <v>416100</v>
      </c>
      <c r="AI17" s="540">
        <f t="shared" si="34"/>
        <v>414560</v>
      </c>
      <c r="AJ17" s="540">
        <f t="shared" ref="AJ17:BI17" si="35">AJ13*$B$34</f>
        <v>413330</v>
      </c>
      <c r="AK17" s="540">
        <f t="shared" si="35"/>
        <v>412350</v>
      </c>
      <c r="AL17" s="540">
        <f t="shared" si="35"/>
        <v>415720</v>
      </c>
      <c r="AM17" s="540">
        <f t="shared" si="35"/>
        <v>418420</v>
      </c>
      <c r="AN17" s="540">
        <f t="shared" si="35"/>
        <v>420580</v>
      </c>
      <c r="AO17" s="540">
        <f t="shared" si="35"/>
        <v>422300</v>
      </c>
      <c r="AP17" s="540">
        <f t="shared" si="35"/>
        <v>424010</v>
      </c>
      <c r="AQ17" s="540">
        <f t="shared" si="35"/>
        <v>425370</v>
      </c>
      <c r="AR17" s="540">
        <f t="shared" si="35"/>
        <v>426460</v>
      </c>
      <c r="AS17" s="540">
        <f t="shared" si="35"/>
        <v>427330</v>
      </c>
      <c r="AT17" s="540">
        <f t="shared" si="35"/>
        <v>428030</v>
      </c>
      <c r="AU17" s="540">
        <f t="shared" si="35"/>
        <v>428590</v>
      </c>
      <c r="AV17" s="540">
        <f t="shared" si="35"/>
        <v>429040</v>
      </c>
      <c r="AW17" s="540">
        <f t="shared" si="35"/>
        <v>429400</v>
      </c>
      <c r="AX17" s="540">
        <f t="shared" si="35"/>
        <v>424470</v>
      </c>
      <c r="AY17" s="540">
        <f t="shared" si="35"/>
        <v>420530</v>
      </c>
      <c r="AZ17" s="540">
        <f t="shared" si="35"/>
        <v>417380</v>
      </c>
      <c r="BA17" s="540">
        <f t="shared" si="35"/>
        <v>414860</v>
      </c>
      <c r="BB17" s="540">
        <f t="shared" si="35"/>
        <v>412730</v>
      </c>
      <c r="BC17" s="540">
        <f t="shared" si="35"/>
        <v>411020</v>
      </c>
      <c r="BD17" s="540">
        <f t="shared" si="35"/>
        <v>409650</v>
      </c>
      <c r="BE17" s="540">
        <f t="shared" si="35"/>
        <v>408560</v>
      </c>
      <c r="BF17" s="540">
        <f t="shared" si="35"/>
        <v>407690</v>
      </c>
      <c r="BG17" s="540">
        <f t="shared" si="35"/>
        <v>406990</v>
      </c>
      <c r="BH17" s="540">
        <f t="shared" si="35"/>
        <v>406430</v>
      </c>
      <c r="BI17" s="540">
        <f t="shared" si="35"/>
        <v>405980</v>
      </c>
      <c r="BJ17" s="540"/>
      <c r="BK17" s="541">
        <f>SUMIF($B$3:$BI$3,BK$4,$B17:$BI17)</f>
        <v>0</v>
      </c>
      <c r="BL17" s="303">
        <f>SUMIF($B$3:$BI$3,BL$4,$B17:$BI17)</f>
        <v>0</v>
      </c>
      <c r="BM17" s="303">
        <f>SUMIF($B$3:$BI$3,BM$4,$B17:$BI17)</f>
        <v>0</v>
      </c>
      <c r="BN17" s="303">
        <f>SUMIF($B$3:$BI$3,BN$4,$B17:$BI17)</f>
        <v>0</v>
      </c>
      <c r="BO17" s="302">
        <f>SUM(BK17:BN17)</f>
        <v>0</v>
      </c>
      <c r="BP17" s="303">
        <f>SUMIF($B$3:$BI$3,BP$4,$B17:$BI17)</f>
        <v>0</v>
      </c>
      <c r="BQ17" s="303">
        <f>SUMIF($B$3:$BI$3,BQ$4,$B17:$BI17)</f>
        <v>494764.60000000003</v>
      </c>
      <c r="BR17" s="303">
        <f>SUMIF($B$3:$BI$3,BR$4,$B17:$BI17)</f>
        <v>867252.57920000004</v>
      </c>
      <c r="BS17" s="303">
        <f>SUMIF($B$3:$BI$3,BS$4,$B17:$BI17)</f>
        <v>1038783.3205504001</v>
      </c>
      <c r="BT17" s="302">
        <f>SUM(BP17:BS17)</f>
        <v>2400800.4997504</v>
      </c>
      <c r="BU17" s="303">
        <f>SUMIF($B$3:$BI$3,BU$4,$B17:$BI17)</f>
        <v>1203006.2601218049</v>
      </c>
      <c r="BV17" s="303">
        <f>SUMIF($B$3:$BI$3,BV$4,$B17:$BI17)</f>
        <v>1317414.8051823643</v>
      </c>
      <c r="BW17" s="303">
        <f>SUMIF($B$3:$BI$3,BW$4,$B17:$BI17)</f>
        <v>1367370</v>
      </c>
      <c r="BX17" s="303">
        <f>SUMIF($B$3:$BI$3,BX$4,$B17:$BI17)</f>
        <v>1384050</v>
      </c>
      <c r="BY17" s="302">
        <f>SUM(BU17:BX17)</f>
        <v>5271841.0653041694</v>
      </c>
      <c r="BZ17" s="303">
        <f>SUMIF($B$3:$BI$3,BZ$4,$B17:$BI17)</f>
        <v>1333370</v>
      </c>
      <c r="CA17" s="303">
        <f>SUMIF($B$3:$BI$3,CA$4,$B17:$BI17)</f>
        <v>1282450</v>
      </c>
      <c r="CB17" s="303">
        <f>SUMIF($B$3:$BI$3,CB$4,$B17:$BI17)</f>
        <v>1254540</v>
      </c>
      <c r="CC17" s="303">
        <f>SUMIF($B$3:$BI$3,CC$4,$B17:$BI17)</f>
        <v>1240240</v>
      </c>
      <c r="CD17" s="302">
        <f>SUM(BZ17:CC17)</f>
        <v>5110600</v>
      </c>
      <c r="CE17" s="303">
        <f>SUMIF($B$3:$BI$3,CE$4,$B17:$BI17)</f>
        <v>1254720</v>
      </c>
      <c r="CF17" s="303">
        <f>SUMIF($B$3:$BI$3,CF$4,$B17:$BI17)</f>
        <v>1271680</v>
      </c>
      <c r="CG17" s="303">
        <f>SUMIF($B$3:$BI$3,CG$4,$B17:$BI17)</f>
        <v>1281820</v>
      </c>
      <c r="CH17" s="303">
        <f>SUMIF($B$3:$BI$3,CH$4,$B17:$BI17)</f>
        <v>1287030</v>
      </c>
      <c r="CI17" s="302">
        <f>SUM(CE17:CH17)</f>
        <v>5095250</v>
      </c>
      <c r="CJ17" s="303">
        <f>SUMIF($B$3:$BI$3,CJ$4,$B17:$BI17)</f>
        <v>1262380</v>
      </c>
      <c r="CK17" s="303">
        <f>SUMIF($B$3:$BI$3,CK$4,$B17:$BI17)</f>
        <v>1238610</v>
      </c>
      <c r="CL17" s="303">
        <f>SUMIF($B$3:$BI$3,CL$4,$B17:$BI17)</f>
        <v>1225900</v>
      </c>
      <c r="CM17" s="303">
        <f>SUMIF($B$3:$BI$3,CM$4,$B17:$BI17)</f>
        <v>1219400</v>
      </c>
      <c r="CN17" s="302">
        <f>SUM(CJ17:CM17)</f>
        <v>4946290</v>
      </c>
    </row>
    <row r="18" spans="1:93" x14ac:dyDescent="0.3">
      <c r="B18" s="547"/>
      <c r="C18" s="547"/>
      <c r="D18" s="149"/>
      <c r="E18" s="149"/>
      <c r="F18" s="149"/>
      <c r="G18" s="149"/>
      <c r="H18" s="149"/>
      <c r="I18" s="149"/>
      <c r="J18" s="149"/>
      <c r="K18" s="149"/>
      <c r="L18" s="149"/>
      <c r="M18" s="149"/>
      <c r="N18" s="149"/>
      <c r="O18" s="149"/>
      <c r="P18" s="149"/>
      <c r="Q18" s="149"/>
      <c r="R18" s="149"/>
      <c r="S18" s="149"/>
      <c r="T18" s="149"/>
      <c r="U18" s="149"/>
      <c r="V18" s="149"/>
      <c r="W18" s="149"/>
      <c r="X18" s="149"/>
      <c r="Y18" s="149"/>
      <c r="Z18" s="149"/>
      <c r="AA18" s="149"/>
      <c r="AB18" s="149"/>
      <c r="AC18" s="149"/>
      <c r="AD18" s="149"/>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49"/>
      <c r="BA18" s="149"/>
      <c r="BB18" s="149"/>
      <c r="BC18" s="149"/>
      <c r="BD18" s="149"/>
      <c r="BE18" s="149"/>
      <c r="BF18" s="149"/>
      <c r="BG18" s="149"/>
      <c r="BH18" s="149"/>
      <c r="BI18" s="149"/>
      <c r="BJ18" s="149"/>
      <c r="BK18" s="128"/>
      <c r="BL18" s="128"/>
      <c r="BM18" s="128"/>
      <c r="BN18" s="128"/>
      <c r="BO18" s="288"/>
      <c r="BP18" s="158"/>
      <c r="BQ18" s="158"/>
      <c r="BR18" s="158"/>
      <c r="BS18" s="158"/>
      <c r="BT18" s="301"/>
      <c r="BU18" s="158"/>
      <c r="BV18" s="158"/>
      <c r="BW18" s="158"/>
      <c r="BX18" s="158"/>
      <c r="BY18" s="301"/>
      <c r="BZ18" s="158"/>
      <c r="CA18" s="158"/>
      <c r="CB18" s="158"/>
      <c r="CC18" s="158"/>
      <c r="CD18" s="301"/>
      <c r="CE18" s="158"/>
      <c r="CF18" s="158"/>
      <c r="CG18" s="158"/>
      <c r="CH18" s="158"/>
      <c r="CI18" s="301"/>
      <c r="CJ18" s="158"/>
      <c r="CK18" s="158"/>
      <c r="CL18" s="158"/>
      <c r="CM18" s="158"/>
      <c r="CN18" s="301"/>
      <c r="CO18" s="141"/>
    </row>
    <row r="19" spans="1:93" x14ac:dyDescent="0.3">
      <c r="B19" s="64"/>
      <c r="C19" s="64"/>
      <c r="E19" s="311"/>
      <c r="F19" s="311"/>
      <c r="G19" s="311"/>
      <c r="H19" s="311"/>
      <c r="I19" s="311"/>
      <c r="J19" s="311"/>
      <c r="K19" s="311"/>
      <c r="L19" s="311"/>
      <c r="M19" s="311"/>
      <c r="N19" s="311"/>
      <c r="O19" s="311"/>
      <c r="P19" s="311"/>
      <c r="Q19" s="311"/>
      <c r="R19" s="311"/>
      <c r="S19" s="311"/>
      <c r="T19" s="311"/>
      <c r="U19" s="311"/>
      <c r="V19" s="311"/>
      <c r="W19" s="311"/>
      <c r="X19" s="311"/>
      <c r="Y19" s="311"/>
      <c r="Z19" s="311"/>
      <c r="AA19" s="311"/>
      <c r="AB19" s="311"/>
      <c r="AC19" s="311"/>
      <c r="AD19" s="311"/>
      <c r="AE19" s="311"/>
      <c r="AF19" s="311"/>
      <c r="AG19" s="311"/>
      <c r="AH19" s="311"/>
      <c r="AI19" s="311"/>
      <c r="AJ19" s="311"/>
      <c r="AK19" s="311"/>
      <c r="AL19" s="311"/>
      <c r="AM19" s="311"/>
      <c r="AN19" s="311"/>
      <c r="AO19" s="311"/>
      <c r="AP19" s="311"/>
      <c r="AQ19" s="311"/>
      <c r="AR19" s="311"/>
      <c r="AS19" s="311"/>
      <c r="AT19" s="311"/>
      <c r="AU19" s="311"/>
      <c r="AV19" s="311"/>
      <c r="AW19" s="311"/>
      <c r="AX19" s="311"/>
      <c r="AY19" s="311"/>
      <c r="AZ19" s="311"/>
      <c r="BA19" s="311"/>
      <c r="BB19" s="311"/>
      <c r="BC19" s="311"/>
      <c r="BD19" s="311"/>
      <c r="BE19" s="311"/>
      <c r="BF19" s="311"/>
      <c r="BG19" s="311"/>
      <c r="BH19" s="311"/>
      <c r="BI19" s="311"/>
      <c r="BK19" s="141"/>
    </row>
    <row r="20" spans="1:93" x14ac:dyDescent="0.3">
      <c r="A20" s="1"/>
      <c r="B20" s="1"/>
      <c r="C20" s="1"/>
      <c r="D20" s="1"/>
      <c r="E20" s="127"/>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28"/>
      <c r="BM20" s="1"/>
      <c r="BN20" s="1"/>
      <c r="BO20" s="1"/>
      <c r="BP20" s="1"/>
      <c r="BQ20" s="1"/>
      <c r="BR20" s="1"/>
      <c r="BS20" s="1"/>
    </row>
    <row r="21" spans="1:93" outlineLevel="1" x14ac:dyDescent="0.3">
      <c r="A21" s="44" t="s">
        <v>128</v>
      </c>
      <c r="B21" s="1"/>
      <c r="C21" s="1"/>
      <c r="D21" s="1"/>
      <c r="E21" s="127"/>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28"/>
      <c r="BM21" s="128"/>
      <c r="BN21" s="1"/>
      <c r="BO21" s="1"/>
      <c r="BP21" s="1"/>
      <c r="BQ21" s="1"/>
      <c r="BR21" s="1"/>
      <c r="BS21" s="1"/>
    </row>
    <row r="22" spans="1:93" outlineLevel="1" x14ac:dyDescent="0.3">
      <c r="A22" s="152" t="s">
        <v>206</v>
      </c>
      <c r="B22" s="139"/>
      <c r="C22" s="139"/>
      <c r="D22" s="139"/>
      <c r="E22" s="140">
        <f>VLOOKUP(E1,'Funding Allocation'!$B$8:$C$12,2,0)</f>
        <v>0.26</v>
      </c>
      <c r="F22" s="140">
        <f>VLOOKUP(F1,'Funding Allocation'!$B$8:$C$12,2,0)</f>
        <v>0.26</v>
      </c>
      <c r="G22" s="140">
        <f>VLOOKUP(G1,'Funding Allocation'!$B$8:$C$12,2,0)</f>
        <v>0.26</v>
      </c>
      <c r="H22" s="140">
        <f>VLOOKUP(H1,'Funding Allocation'!$B$8:$C$12,2,0)</f>
        <v>0.26</v>
      </c>
      <c r="I22" s="140">
        <f>VLOOKUP(I1,'Funding Allocation'!$B$8:$C$12,2,0)</f>
        <v>0.26</v>
      </c>
      <c r="J22" s="140">
        <f>VLOOKUP(J1,'Funding Allocation'!$B$8:$C$12,2,0)</f>
        <v>0.26</v>
      </c>
      <c r="K22" s="140">
        <f>VLOOKUP(K1,'Funding Allocation'!$B$8:$C$12,2,0)</f>
        <v>0.26</v>
      </c>
      <c r="L22" s="140">
        <f>VLOOKUP(L1,'Funding Allocation'!$B$8:$C$12,2,0)</f>
        <v>0.26</v>
      </c>
      <c r="M22" s="140">
        <f>VLOOKUP(M1,'Funding Allocation'!$B$8:$C$12,2,0)</f>
        <v>0.26</v>
      </c>
      <c r="N22" s="140">
        <f>VLOOKUP(N1,'Funding Allocation'!$B$8:$C$12,2,0)</f>
        <v>0.26</v>
      </c>
      <c r="O22" s="140">
        <f>VLOOKUP(O1,'Funding Allocation'!$B$8:$C$12,2,0)</f>
        <v>0.26</v>
      </c>
      <c r="P22" s="140">
        <f>VLOOKUP(P1,'Funding Allocation'!$B$8:$C$12,2,0)</f>
        <v>0.26</v>
      </c>
      <c r="Q22" s="140">
        <f>VLOOKUP(Q1,'Funding Allocation'!$B$8:$C$12,2,0)</f>
        <v>0.23</v>
      </c>
      <c r="R22" s="140">
        <f>VLOOKUP(R1,'Funding Allocation'!$B$8:$C$12,2,0)</f>
        <v>0.23</v>
      </c>
      <c r="S22" s="140">
        <f>VLOOKUP(S1,'Funding Allocation'!$B$8:$C$12,2,0)</f>
        <v>0.23</v>
      </c>
      <c r="T22" s="140">
        <f>VLOOKUP(T1,'Funding Allocation'!$B$8:$C$12,2,0)</f>
        <v>0.23</v>
      </c>
      <c r="U22" s="140">
        <f>VLOOKUP(U1,'Funding Allocation'!$B$8:$C$12,2,0)</f>
        <v>0.23</v>
      </c>
      <c r="V22" s="140">
        <f>VLOOKUP(V1,'Funding Allocation'!$B$8:$C$12,2,0)</f>
        <v>0.23</v>
      </c>
      <c r="W22" s="140">
        <f>VLOOKUP(W1,'Funding Allocation'!$B$8:$C$12,2,0)</f>
        <v>0.23</v>
      </c>
      <c r="X22" s="140">
        <f>VLOOKUP(X1,'Funding Allocation'!$B$8:$C$12,2,0)</f>
        <v>0.23</v>
      </c>
      <c r="Y22" s="140">
        <f>VLOOKUP(Y1,'Funding Allocation'!$B$8:$C$12,2,0)</f>
        <v>0.23</v>
      </c>
      <c r="Z22" s="140">
        <f>VLOOKUP(Z1,'Funding Allocation'!$B$8:$C$12,2,0)</f>
        <v>0.23</v>
      </c>
      <c r="AA22" s="140">
        <f>VLOOKUP(AA1,'Funding Allocation'!$B$8:$C$12,2,0)</f>
        <v>0.23</v>
      </c>
      <c r="AB22" s="140">
        <f>VLOOKUP(AB1,'Funding Allocation'!$B$8:$C$12,2,0)</f>
        <v>0.23</v>
      </c>
      <c r="AC22" s="140">
        <f>VLOOKUP(AC1,'Funding Allocation'!$B$8:$C$12,2,0)</f>
        <v>0.18</v>
      </c>
      <c r="AD22" s="140">
        <f>VLOOKUP(AD1,'Funding Allocation'!$B$8:$C$12,2,0)</f>
        <v>0.18</v>
      </c>
      <c r="AE22" s="140">
        <f>VLOOKUP(AE1,'Funding Allocation'!$B$8:$C$12,2,0)</f>
        <v>0.18</v>
      </c>
      <c r="AF22" s="140">
        <f>VLOOKUP(AF1,'Funding Allocation'!$B$8:$C$12,2,0)</f>
        <v>0.18</v>
      </c>
      <c r="AG22" s="140">
        <f>VLOOKUP(AG1,'Funding Allocation'!$B$8:$C$12,2,0)</f>
        <v>0.18</v>
      </c>
      <c r="AH22" s="140">
        <f>VLOOKUP(AH1,'Funding Allocation'!$B$8:$C$12,2,0)</f>
        <v>0.18</v>
      </c>
      <c r="AI22" s="140">
        <f>VLOOKUP(AI1,'Funding Allocation'!$B$8:$C$12,2,0)</f>
        <v>0.18</v>
      </c>
      <c r="AJ22" s="140">
        <f>VLOOKUP(AJ1,'Funding Allocation'!$B$8:$C$12,2,0)</f>
        <v>0.18</v>
      </c>
      <c r="AK22" s="140">
        <f>VLOOKUP(AK1,'Funding Allocation'!$B$8:$C$12,2,0)</f>
        <v>0.18</v>
      </c>
      <c r="AL22" s="140">
        <f>VLOOKUP(AL1,'Funding Allocation'!$B$8:$C$12,2,0)</f>
        <v>0.18</v>
      </c>
      <c r="AM22" s="140">
        <f>VLOOKUP(AM1,'Funding Allocation'!$B$8:$C$12,2,0)</f>
        <v>0.18</v>
      </c>
      <c r="AN22" s="140">
        <f>VLOOKUP(AN1,'Funding Allocation'!$B$8:$C$12,2,0)</f>
        <v>0.18</v>
      </c>
      <c r="AO22" s="140">
        <f>VLOOKUP(AO1,'Funding Allocation'!$B$8:$C$12,2,0)</f>
        <v>0.17</v>
      </c>
      <c r="AP22" s="140">
        <f>VLOOKUP(AP1,'Funding Allocation'!$B$8:$C$12,2,0)</f>
        <v>0.17</v>
      </c>
      <c r="AQ22" s="140">
        <f>VLOOKUP(AQ1,'Funding Allocation'!$B$8:$C$12,2,0)</f>
        <v>0.17</v>
      </c>
      <c r="AR22" s="140">
        <f>VLOOKUP(AR1,'Funding Allocation'!$B$8:$C$12,2,0)</f>
        <v>0.17</v>
      </c>
      <c r="AS22" s="140">
        <f>VLOOKUP(AS1,'Funding Allocation'!$B$8:$C$12,2,0)</f>
        <v>0.17</v>
      </c>
      <c r="AT22" s="140">
        <f>VLOOKUP(AT1,'Funding Allocation'!$B$8:$C$12,2,0)</f>
        <v>0.17</v>
      </c>
      <c r="AU22" s="140">
        <f>VLOOKUP(AU1,'Funding Allocation'!$B$8:$C$12,2,0)</f>
        <v>0.17</v>
      </c>
      <c r="AV22" s="140">
        <f>VLOOKUP(AV1,'Funding Allocation'!$B$8:$C$12,2,0)</f>
        <v>0.17</v>
      </c>
      <c r="AW22" s="140">
        <f>VLOOKUP(AW1,'Funding Allocation'!$B$8:$C$12,2,0)</f>
        <v>0.17</v>
      </c>
      <c r="AX22" s="140">
        <f>VLOOKUP(AX1,'Funding Allocation'!$B$8:$C$12,2,0)</f>
        <v>0.17</v>
      </c>
      <c r="AY22" s="140">
        <f>VLOOKUP(AY1,'Funding Allocation'!$B$8:$C$12,2,0)</f>
        <v>0.17</v>
      </c>
      <c r="AZ22" s="140">
        <f>VLOOKUP(AZ1,'Funding Allocation'!$B$8:$C$12,2,0)</f>
        <v>0.17</v>
      </c>
      <c r="BA22" s="140">
        <f>VLOOKUP(BA1,'Funding Allocation'!$B$8:$C$12,2,0)</f>
        <v>0.16</v>
      </c>
      <c r="BB22" s="140">
        <f>VLOOKUP(BB1,'Funding Allocation'!$B$8:$C$12,2,0)</f>
        <v>0.16</v>
      </c>
      <c r="BC22" s="140">
        <f>VLOOKUP(BC1,'Funding Allocation'!$B$8:$C$12,2,0)</f>
        <v>0.16</v>
      </c>
      <c r="BD22" s="140">
        <f>VLOOKUP(BD1,'Funding Allocation'!$B$8:$C$12,2,0)</f>
        <v>0.16</v>
      </c>
      <c r="BE22" s="140">
        <f>VLOOKUP(BE1,'Funding Allocation'!$B$8:$C$12,2,0)</f>
        <v>0.16</v>
      </c>
      <c r="BF22" s="140">
        <f>VLOOKUP(BF1,'Funding Allocation'!$B$8:$C$12,2,0)</f>
        <v>0.16</v>
      </c>
      <c r="BG22" s="140">
        <f>VLOOKUP(BG1,'Funding Allocation'!$B$8:$C$12,2,0)</f>
        <v>0.16</v>
      </c>
      <c r="BH22" s="140">
        <f>VLOOKUP(BH1,'Funding Allocation'!$B$8:$C$12,2,0)</f>
        <v>0.16</v>
      </c>
      <c r="BI22" s="283">
        <f>VLOOKUP(BI1,'Funding Allocation'!$B$8:$C$12,2,0)</f>
        <v>0.16</v>
      </c>
      <c r="BJ22" s="142"/>
      <c r="BK22" s="128"/>
      <c r="BL22" s="1"/>
      <c r="BM22" s="1"/>
      <c r="BN22" s="1"/>
      <c r="BO22" s="1"/>
      <c r="BP22" s="1"/>
      <c r="BQ22" s="1"/>
      <c r="BR22" s="1"/>
      <c r="BS22" s="1"/>
    </row>
    <row r="23" spans="1:93" outlineLevel="1" x14ac:dyDescent="0.3">
      <c r="A23" s="153" t="s">
        <v>121</v>
      </c>
      <c r="B23" s="141"/>
      <c r="C23" s="141"/>
      <c r="D23" s="141"/>
      <c r="E23" s="142">
        <f>'Funding Allocation'!$C$30</f>
        <v>0.30000000000000004</v>
      </c>
      <c r="F23" s="142">
        <f>'Funding Allocation'!$C$30</f>
        <v>0.30000000000000004</v>
      </c>
      <c r="G23" s="142">
        <f>'Funding Allocation'!$C$30</f>
        <v>0.30000000000000004</v>
      </c>
      <c r="H23" s="142">
        <f>'Funding Allocation'!$C$30</f>
        <v>0.30000000000000004</v>
      </c>
      <c r="I23" s="142">
        <f>'Funding Allocation'!$C$30</f>
        <v>0.30000000000000004</v>
      </c>
      <c r="J23" s="142">
        <f>'Funding Allocation'!$C$30</f>
        <v>0.30000000000000004</v>
      </c>
      <c r="K23" s="142">
        <f>'Funding Allocation'!$C$30</f>
        <v>0.30000000000000004</v>
      </c>
      <c r="L23" s="142">
        <f>'Funding Allocation'!$C$30</f>
        <v>0.30000000000000004</v>
      </c>
      <c r="M23" s="142">
        <f>'Funding Allocation'!$C$30</f>
        <v>0.30000000000000004</v>
      </c>
      <c r="N23" s="142">
        <f>'Funding Allocation'!$D$30</f>
        <v>0.4</v>
      </c>
      <c r="O23" s="142">
        <f>'Funding Allocation'!$D$30</f>
        <v>0.4</v>
      </c>
      <c r="P23" s="142">
        <f>'Funding Allocation'!$D$30</f>
        <v>0.4</v>
      </c>
      <c r="Q23" s="142">
        <f>'Funding Allocation'!$D$30</f>
        <v>0.4</v>
      </c>
      <c r="R23" s="142">
        <f>'Funding Allocation'!$D$30</f>
        <v>0.4</v>
      </c>
      <c r="S23" s="142">
        <f>'Funding Allocation'!$D$30</f>
        <v>0.4</v>
      </c>
      <c r="T23" s="142">
        <f>'Funding Allocation'!$D$30</f>
        <v>0.4</v>
      </c>
      <c r="U23" s="142">
        <f>'Funding Allocation'!$D$30</f>
        <v>0.4</v>
      </c>
      <c r="V23" s="142">
        <f>'Funding Allocation'!$D$30</f>
        <v>0.4</v>
      </c>
      <c r="W23" s="142">
        <f>'Funding Allocation'!$D$30</f>
        <v>0.4</v>
      </c>
      <c r="X23" s="142">
        <f>'Funding Allocation'!$D$30</f>
        <v>0.4</v>
      </c>
      <c r="Y23" s="142">
        <f>'Funding Allocation'!$D$30</f>
        <v>0.4</v>
      </c>
      <c r="Z23" s="142">
        <f>'Funding Allocation'!$E$30</f>
        <v>0.44999999999999996</v>
      </c>
      <c r="AA23" s="142">
        <f>'Funding Allocation'!$E$30</f>
        <v>0.44999999999999996</v>
      </c>
      <c r="AB23" s="142">
        <f>'Funding Allocation'!$E$30</f>
        <v>0.44999999999999996</v>
      </c>
      <c r="AC23" s="142">
        <f>'Funding Allocation'!$E$30</f>
        <v>0.44999999999999996</v>
      </c>
      <c r="AD23" s="142">
        <f>'Funding Allocation'!$E$30</f>
        <v>0.44999999999999996</v>
      </c>
      <c r="AE23" s="142">
        <f>'Funding Allocation'!$E$30</f>
        <v>0.44999999999999996</v>
      </c>
      <c r="AF23" s="142">
        <f>'Funding Allocation'!$E$30</f>
        <v>0.44999999999999996</v>
      </c>
      <c r="AG23" s="142">
        <f>'Funding Allocation'!$E$30</f>
        <v>0.44999999999999996</v>
      </c>
      <c r="AH23" s="142">
        <f>'Funding Allocation'!$E$30</f>
        <v>0.44999999999999996</v>
      </c>
      <c r="AI23" s="142">
        <f>'Funding Allocation'!$E$30</f>
        <v>0.44999999999999996</v>
      </c>
      <c r="AJ23" s="142">
        <f>'Funding Allocation'!$E$30</f>
        <v>0.44999999999999996</v>
      </c>
      <c r="AK23" s="142">
        <f>'Funding Allocation'!$E$30</f>
        <v>0.44999999999999996</v>
      </c>
      <c r="AL23" s="142">
        <f>'Funding Allocation'!$F$30</f>
        <v>0.5</v>
      </c>
      <c r="AM23" s="142">
        <f>'Funding Allocation'!$F$30</f>
        <v>0.5</v>
      </c>
      <c r="AN23" s="142">
        <f>'Funding Allocation'!$F$30</f>
        <v>0.5</v>
      </c>
      <c r="AO23" s="142">
        <f>'Funding Allocation'!$F$30</f>
        <v>0.5</v>
      </c>
      <c r="AP23" s="142">
        <f>'Funding Allocation'!$F$30</f>
        <v>0.5</v>
      </c>
      <c r="AQ23" s="142">
        <f>'Funding Allocation'!$F$30</f>
        <v>0.5</v>
      </c>
      <c r="AR23" s="142">
        <f>'Funding Allocation'!$F$30</f>
        <v>0.5</v>
      </c>
      <c r="AS23" s="142">
        <f>'Funding Allocation'!$F$30</f>
        <v>0.5</v>
      </c>
      <c r="AT23" s="142">
        <f>'Funding Allocation'!$F$30</f>
        <v>0.5</v>
      </c>
      <c r="AU23" s="142">
        <f>'Funding Allocation'!$F$30</f>
        <v>0.5</v>
      </c>
      <c r="AV23" s="142">
        <f>'Funding Allocation'!$F$30</f>
        <v>0.5</v>
      </c>
      <c r="AW23" s="142">
        <f>'Funding Allocation'!$F$30</f>
        <v>0.5</v>
      </c>
      <c r="AX23" s="142">
        <f>'Funding Allocation'!$F$30</f>
        <v>0.5</v>
      </c>
      <c r="AY23" s="142">
        <f>'Funding Allocation'!$G$30</f>
        <v>0.5</v>
      </c>
      <c r="AZ23" s="142">
        <f>'Funding Allocation'!$G$30</f>
        <v>0.5</v>
      </c>
      <c r="BA23" s="142">
        <f>'Funding Allocation'!$G$30</f>
        <v>0.5</v>
      </c>
      <c r="BB23" s="142">
        <f>'Funding Allocation'!$G$30</f>
        <v>0.5</v>
      </c>
      <c r="BC23" s="142">
        <f>'Funding Allocation'!$G$30</f>
        <v>0.5</v>
      </c>
      <c r="BD23" s="142">
        <f>'Funding Allocation'!$G$30</f>
        <v>0.5</v>
      </c>
      <c r="BE23" s="142">
        <f>'Funding Allocation'!$G$30</f>
        <v>0.5</v>
      </c>
      <c r="BF23" s="142">
        <f>'Funding Allocation'!$G$30</f>
        <v>0.5</v>
      </c>
      <c r="BG23" s="142">
        <f>'Funding Allocation'!$G$30</f>
        <v>0.5</v>
      </c>
      <c r="BH23" s="142">
        <f>'Funding Allocation'!$G$30</f>
        <v>0.5</v>
      </c>
      <c r="BI23" s="142">
        <f>'Funding Allocation'!$G$30</f>
        <v>0.5</v>
      </c>
      <c r="BJ23" s="142"/>
      <c r="BK23" s="141"/>
    </row>
    <row r="24" spans="1:93" outlineLevel="1" x14ac:dyDescent="0.3">
      <c r="A24" s="153" t="s">
        <v>122</v>
      </c>
      <c r="B24" s="141"/>
      <c r="C24" s="141"/>
      <c r="D24" s="141"/>
      <c r="E24" s="142">
        <f>'Funding Allocation'!$C16</f>
        <v>0.5</v>
      </c>
      <c r="F24" s="142">
        <f>'Funding Allocation'!$C$16</f>
        <v>0.5</v>
      </c>
      <c r="G24" s="142">
        <f>'Funding Allocation'!$C$16</f>
        <v>0.5</v>
      </c>
      <c r="H24" s="142">
        <f>'Funding Allocation'!$C$16</f>
        <v>0.5</v>
      </c>
      <c r="I24" s="142">
        <f>'Funding Allocation'!$C$16</f>
        <v>0.5</v>
      </c>
      <c r="J24" s="142">
        <f>'Funding Allocation'!$C$16</f>
        <v>0.5</v>
      </c>
      <c r="K24" s="142">
        <f>'Funding Allocation'!$C$16</f>
        <v>0.5</v>
      </c>
      <c r="L24" s="142">
        <f>'Funding Allocation'!$C$16</f>
        <v>0.5</v>
      </c>
      <c r="M24" s="142">
        <f>'Funding Allocation'!$C$16</f>
        <v>0.5</v>
      </c>
      <c r="N24" s="142">
        <f>'Funding Allocation'!$C$16</f>
        <v>0.5</v>
      </c>
      <c r="O24" s="142">
        <f>'Funding Allocation'!$C$16</f>
        <v>0.5</v>
      </c>
      <c r="P24" s="142">
        <f>'Funding Allocation'!$C$16</f>
        <v>0.5</v>
      </c>
      <c r="Q24" s="142">
        <f>'Funding Allocation'!$D$16</f>
        <v>0.5</v>
      </c>
      <c r="R24" s="142">
        <f>'Funding Allocation'!$D$16</f>
        <v>0.5</v>
      </c>
      <c r="S24" s="142">
        <f>'Funding Allocation'!$D$16</f>
        <v>0.5</v>
      </c>
      <c r="T24" s="142">
        <f>'Funding Allocation'!$D$16</f>
        <v>0.5</v>
      </c>
      <c r="U24" s="142">
        <f>'Funding Allocation'!$D$16</f>
        <v>0.5</v>
      </c>
      <c r="V24" s="142">
        <f>'Funding Allocation'!$D$16</f>
        <v>0.5</v>
      </c>
      <c r="W24" s="142">
        <f>'Funding Allocation'!$D$16</f>
        <v>0.5</v>
      </c>
      <c r="X24" s="142">
        <f>'Funding Allocation'!$D$16</f>
        <v>0.5</v>
      </c>
      <c r="Y24" s="142">
        <f>'Funding Allocation'!$D$16</f>
        <v>0.5</v>
      </c>
      <c r="Z24" s="142">
        <f>'Funding Allocation'!$D$16</f>
        <v>0.5</v>
      </c>
      <c r="AA24" s="142">
        <f>'Funding Allocation'!$D$16</f>
        <v>0.5</v>
      </c>
      <c r="AB24" s="142">
        <f>'Funding Allocation'!$D$16</f>
        <v>0.5</v>
      </c>
      <c r="AC24" s="142">
        <f>'Funding Allocation'!$E$16</f>
        <v>0.5</v>
      </c>
      <c r="AD24" s="142">
        <f>'Funding Allocation'!$E$16</f>
        <v>0.5</v>
      </c>
      <c r="AE24" s="142">
        <f>'Funding Allocation'!$E$16</f>
        <v>0.5</v>
      </c>
      <c r="AF24" s="142">
        <f>'Funding Allocation'!$E$16</f>
        <v>0.5</v>
      </c>
      <c r="AG24" s="142">
        <f>'Funding Allocation'!$E$16</f>
        <v>0.5</v>
      </c>
      <c r="AH24" s="142">
        <f>'Funding Allocation'!$E$16</f>
        <v>0.5</v>
      </c>
      <c r="AI24" s="142">
        <f>'Funding Allocation'!$E$16</f>
        <v>0.5</v>
      </c>
      <c r="AJ24" s="142">
        <f>'Funding Allocation'!$E$16</f>
        <v>0.5</v>
      </c>
      <c r="AK24" s="142">
        <f>'Funding Allocation'!$E$16</f>
        <v>0.5</v>
      </c>
      <c r="AL24" s="142">
        <f>'Funding Allocation'!$E$16</f>
        <v>0.5</v>
      </c>
      <c r="AM24" s="142">
        <f>'Funding Allocation'!$E$16</f>
        <v>0.5</v>
      </c>
      <c r="AN24" s="142">
        <f>'Funding Allocation'!$E$16</f>
        <v>0.5</v>
      </c>
      <c r="AO24" s="142">
        <f>'Funding Allocation'!$F$16</f>
        <v>0.5</v>
      </c>
      <c r="AP24" s="142">
        <f>'Funding Allocation'!$F$16</f>
        <v>0.5</v>
      </c>
      <c r="AQ24" s="142">
        <f>'Funding Allocation'!$F$16</f>
        <v>0.5</v>
      </c>
      <c r="AR24" s="142">
        <f>'Funding Allocation'!$F$16</f>
        <v>0.5</v>
      </c>
      <c r="AS24" s="142">
        <f>'Funding Allocation'!$F$16</f>
        <v>0.5</v>
      </c>
      <c r="AT24" s="142">
        <f>'Funding Allocation'!$F$16</f>
        <v>0.5</v>
      </c>
      <c r="AU24" s="142">
        <f>'Funding Allocation'!$F$16</f>
        <v>0.5</v>
      </c>
      <c r="AV24" s="142">
        <f>'Funding Allocation'!$F$16</f>
        <v>0.5</v>
      </c>
      <c r="AW24" s="142">
        <f>'Funding Allocation'!$F$16</f>
        <v>0.5</v>
      </c>
      <c r="AX24" s="142">
        <f>'Funding Allocation'!$F$16</f>
        <v>0.5</v>
      </c>
      <c r="AY24" s="142">
        <f>'Funding Allocation'!$F$16</f>
        <v>0.5</v>
      </c>
      <c r="AZ24" s="142">
        <f>'Funding Allocation'!$F$16</f>
        <v>0.5</v>
      </c>
      <c r="BA24" s="142">
        <f>'Funding Allocation'!$G$16</f>
        <v>0.5</v>
      </c>
      <c r="BB24" s="142">
        <f>'Funding Allocation'!$G$16</f>
        <v>0.5</v>
      </c>
      <c r="BC24" s="142">
        <f>'Funding Allocation'!$G$16</f>
        <v>0.5</v>
      </c>
      <c r="BD24" s="142">
        <f>'Funding Allocation'!$G$16</f>
        <v>0.5</v>
      </c>
      <c r="BE24" s="142">
        <f>'Funding Allocation'!$G$16</f>
        <v>0.5</v>
      </c>
      <c r="BF24" s="142">
        <f>'Funding Allocation'!$G$16</f>
        <v>0.5</v>
      </c>
      <c r="BG24" s="142">
        <f>'Funding Allocation'!$G$16</f>
        <v>0.5</v>
      </c>
      <c r="BH24" s="142">
        <f>'Funding Allocation'!$G$16</f>
        <v>0.5</v>
      </c>
      <c r="BI24" s="284">
        <f>'Funding Allocation'!$G$16</f>
        <v>0.5</v>
      </c>
      <c r="BJ24" s="142"/>
      <c r="BK24" s="141"/>
    </row>
    <row r="25" spans="1:93" outlineLevel="1" x14ac:dyDescent="0.3">
      <c r="A25" s="153" t="s">
        <v>123</v>
      </c>
      <c r="B25" s="141"/>
      <c r="C25" s="141"/>
      <c r="D25" s="141"/>
      <c r="E25" s="143">
        <v>0.33333333333333331</v>
      </c>
      <c r="F25" s="143">
        <v>0.33333333333333331</v>
      </c>
      <c r="G25" s="143">
        <v>0.33333333333333331</v>
      </c>
      <c r="H25" s="143">
        <v>0.33333333333333331</v>
      </c>
      <c r="I25" s="143">
        <v>0.33333333333333331</v>
      </c>
      <c r="J25" s="143">
        <v>0.33333333333333331</v>
      </c>
      <c r="K25" s="143">
        <v>0.33333333333333331</v>
      </c>
      <c r="L25" s="143">
        <v>0.33333333333333331</v>
      </c>
      <c r="M25" s="143">
        <v>0.33333333333333331</v>
      </c>
      <c r="N25" s="143">
        <v>0.33333333333333331</v>
      </c>
      <c r="O25" s="143">
        <v>0.33333333333333331</v>
      </c>
      <c r="P25" s="143">
        <v>0.33333333333333331</v>
      </c>
      <c r="Q25" s="143">
        <v>0.33333333333333331</v>
      </c>
      <c r="R25" s="143">
        <v>0.33333333333333331</v>
      </c>
      <c r="S25" s="143">
        <v>0.33333333333333331</v>
      </c>
      <c r="T25" s="143">
        <v>0.33333333333333331</v>
      </c>
      <c r="U25" s="143">
        <v>0.33333333333333331</v>
      </c>
      <c r="V25" s="143">
        <v>0.33333333333333331</v>
      </c>
      <c r="W25" s="143">
        <v>0.33333333333333331</v>
      </c>
      <c r="X25" s="143">
        <v>0.33333333333333331</v>
      </c>
      <c r="Y25" s="143">
        <v>0.33333333333333331</v>
      </c>
      <c r="Z25" s="143">
        <v>0.33333333333333331</v>
      </c>
      <c r="AA25" s="143">
        <v>0.33333333333333331</v>
      </c>
      <c r="AB25" s="143">
        <v>0.33333333333333331</v>
      </c>
      <c r="AC25" s="143">
        <v>0.33333333333333331</v>
      </c>
      <c r="AD25" s="143">
        <v>0.33333333333333331</v>
      </c>
      <c r="AE25" s="143">
        <v>0.33333333333333331</v>
      </c>
      <c r="AF25" s="143">
        <v>0.33333333333333331</v>
      </c>
      <c r="AG25" s="143">
        <v>0.33333333333333331</v>
      </c>
      <c r="AH25" s="143">
        <v>0.33333333333333331</v>
      </c>
      <c r="AI25" s="143">
        <v>0.33333333333333331</v>
      </c>
      <c r="AJ25" s="143">
        <v>0.33333333333333331</v>
      </c>
      <c r="AK25" s="143">
        <v>0.33333333333333331</v>
      </c>
      <c r="AL25" s="143">
        <v>0.33333333333333331</v>
      </c>
      <c r="AM25" s="143">
        <v>0.33333333333333331</v>
      </c>
      <c r="AN25" s="143">
        <v>0.33333333333333331</v>
      </c>
      <c r="AO25" s="143">
        <v>0.33333333333333331</v>
      </c>
      <c r="AP25" s="143">
        <v>0.33333333333333331</v>
      </c>
      <c r="AQ25" s="143">
        <v>0.33333333333333331</v>
      </c>
      <c r="AR25" s="143">
        <v>0.33333333333333331</v>
      </c>
      <c r="AS25" s="143">
        <v>0.33333333333333331</v>
      </c>
      <c r="AT25" s="143">
        <v>0.33333333333333331</v>
      </c>
      <c r="AU25" s="143">
        <v>0.33333333333333331</v>
      </c>
      <c r="AV25" s="143">
        <v>0.33333333333333331</v>
      </c>
      <c r="AW25" s="143">
        <v>0.33333333333333331</v>
      </c>
      <c r="AX25" s="143">
        <v>0.33333333333333331</v>
      </c>
      <c r="AY25" s="143">
        <v>0.33333333333333331</v>
      </c>
      <c r="AZ25" s="143">
        <v>0.33333333333333331</v>
      </c>
      <c r="BA25" s="143">
        <v>0.33333333333333331</v>
      </c>
      <c r="BB25" s="143">
        <v>0.33333333333333331</v>
      </c>
      <c r="BC25" s="143">
        <v>0.33333333333333331</v>
      </c>
      <c r="BD25" s="143">
        <v>0.33333333333333331</v>
      </c>
      <c r="BE25" s="143">
        <v>0.33333333333333331</v>
      </c>
      <c r="BF25" s="143">
        <v>0.33333333333333331</v>
      </c>
      <c r="BG25" s="143">
        <v>0.33333333333333331</v>
      </c>
      <c r="BH25" s="143">
        <v>0.33333333333333331</v>
      </c>
      <c r="BI25" s="285">
        <v>0.33333333333333331</v>
      </c>
      <c r="BJ25" s="143"/>
      <c r="BK25" s="141"/>
    </row>
    <row r="26" spans="1:93" outlineLevel="1" x14ac:dyDescent="0.3">
      <c r="A26" s="126" t="s">
        <v>207</v>
      </c>
      <c r="B26" s="141"/>
      <c r="C26" s="141"/>
      <c r="D26" s="141"/>
      <c r="E26" s="122">
        <f>'Funding Allocation'!$I$36*1000*E23*-1*E25</f>
        <v>-97500.000000000015</v>
      </c>
      <c r="F26" s="122">
        <f>'Funding Allocation'!$I$36*1000*F23*-1*F25</f>
        <v>-97500.000000000015</v>
      </c>
      <c r="G26" s="122">
        <f>'Funding Allocation'!$I$36*1000*G23*-1*G25</f>
        <v>-97500.000000000015</v>
      </c>
      <c r="H26" s="122">
        <f>'Funding Allocation'!$J$36*1000*H23*-1*H25</f>
        <v>-97500.000000000015</v>
      </c>
      <c r="I26" s="122">
        <f>'Funding Allocation'!$J$36*1000*I23*-1*I25</f>
        <v>-97500.000000000015</v>
      </c>
      <c r="J26" s="122">
        <f>'Funding Allocation'!$J$36*1000*J23*-1*J25</f>
        <v>-97500.000000000015</v>
      </c>
      <c r="K26" s="122">
        <f>'Funding Allocation'!$K$36*1000*K23*-1*K25</f>
        <v>-97500.000000000015</v>
      </c>
      <c r="L26" s="122">
        <f>'Funding Allocation'!$K$36*1000*L23*-1*L25</f>
        <v>-97500.000000000015</v>
      </c>
      <c r="M26" s="122">
        <f>'Funding Allocation'!$K$36*1000*M23*-1*M25</f>
        <v>-97500.000000000015</v>
      </c>
      <c r="N26" s="122">
        <f>'Funding Allocation'!$M$36*1000*N23*-1*N25</f>
        <v>-115000</v>
      </c>
      <c r="O26" s="122">
        <f>'Funding Allocation'!$M$36*1000*O23*-1*O25</f>
        <v>-115000</v>
      </c>
      <c r="P26" s="122">
        <f>'Funding Allocation'!$M$36*1000*P23*-1*P25</f>
        <v>-115000</v>
      </c>
      <c r="Q26" s="122">
        <f>'Funding Allocation'!$N$36*1000*Q23*-1*Q25</f>
        <v>-115000</v>
      </c>
      <c r="R26" s="122">
        <f>'Funding Allocation'!$N$36*1000*R23*-1*R25</f>
        <v>-115000</v>
      </c>
      <c r="S26" s="122">
        <f>'Funding Allocation'!$N$36*1000*S23*-1*S25</f>
        <v>-115000</v>
      </c>
      <c r="T26" s="122">
        <f>'Funding Allocation'!$O$36*1000*T23*-1*T25</f>
        <v>-115000</v>
      </c>
      <c r="U26" s="122">
        <f>'Funding Allocation'!$O$36*1000*U23*-1*U25</f>
        <v>-115000</v>
      </c>
      <c r="V26" s="122">
        <f>'Funding Allocation'!$O$36*1000*V23*-1*V25</f>
        <v>-115000</v>
      </c>
      <c r="W26" s="122">
        <f>'Funding Allocation'!$P$36*1000*W23*-1*W25</f>
        <v>-115000</v>
      </c>
      <c r="X26" s="122">
        <f>'Funding Allocation'!$P$36*1000*X23*-1*X25</f>
        <v>-115000</v>
      </c>
      <c r="Y26" s="122">
        <f>'Funding Allocation'!$P$36*1000*Y23*-1*Y25</f>
        <v>-115000</v>
      </c>
      <c r="Z26" s="122">
        <f>'Funding Allocation'!$R$36*1000*Z23*-1*Z25</f>
        <v>-101249.99999999997</v>
      </c>
      <c r="AA26" s="122">
        <f>'Funding Allocation'!$R$36*1000*AA23*-1*AA25</f>
        <v>-101249.99999999997</v>
      </c>
      <c r="AB26" s="122">
        <f>'Funding Allocation'!$R$36*1000*AB23*-1*AB25</f>
        <v>-101249.99999999997</v>
      </c>
      <c r="AC26" s="122">
        <f>'Funding Allocation'!$S$36*1000*AC23*-1*AC25</f>
        <v>-101249.99999999997</v>
      </c>
      <c r="AD26" s="122">
        <f>'Funding Allocation'!$S$36*1000*AD23*-1*AD25</f>
        <v>-101249.99999999997</v>
      </c>
      <c r="AE26" s="122">
        <f>'Funding Allocation'!$S$36*1000*AE23*-1*AE25</f>
        <v>-101249.99999999997</v>
      </c>
      <c r="AF26" s="122">
        <f>'Funding Allocation'!$T$36*1000*AF23*-1*AF25</f>
        <v>-101249.99999999997</v>
      </c>
      <c r="AG26" s="122">
        <f>'Funding Allocation'!$T$36*1000*AG23*-1*AG25</f>
        <v>-101249.99999999997</v>
      </c>
      <c r="AH26" s="122">
        <f>'Funding Allocation'!$T$36*1000*AH23*-1*AH25</f>
        <v>-101249.99999999997</v>
      </c>
      <c r="AI26" s="122">
        <f>'Funding Allocation'!$U$36*1000*AI23*-1*AI25</f>
        <v>-101249.99999999997</v>
      </c>
      <c r="AJ26" s="122">
        <f>'Funding Allocation'!$U$36*1000*AJ23*-1*AJ25</f>
        <v>-101249.99999999997</v>
      </c>
      <c r="AK26" s="122">
        <f>'Funding Allocation'!$U$36*1000*AK23*-1*AK25</f>
        <v>-101249.99999999997</v>
      </c>
      <c r="AL26" s="122">
        <f>'Funding Allocation'!$W$36*1000*AL23*-1*AL25</f>
        <v>-106250</v>
      </c>
      <c r="AM26" s="122">
        <f>'Funding Allocation'!$W$36*1000*AM23*-1*AM25</f>
        <v>-106250</v>
      </c>
      <c r="AN26" s="122">
        <f>'Funding Allocation'!$W$36*1000*AN23*-1*AN25</f>
        <v>-106250</v>
      </c>
      <c r="AO26" s="122">
        <f>'Funding Allocation'!$X$36*1000*AO23*-1*AO25</f>
        <v>-106250</v>
      </c>
      <c r="AP26" s="122">
        <f>'Funding Allocation'!$X$36*1000*AP23*-1*AP25</f>
        <v>-106250</v>
      </c>
      <c r="AQ26" s="122">
        <f>'Funding Allocation'!$X$36*1000*AQ23*-1*AQ25</f>
        <v>-106250</v>
      </c>
      <c r="AR26" s="122">
        <f>'Funding Allocation'!$Y$36*1000*AR23*-1*AR25</f>
        <v>-106250</v>
      </c>
      <c r="AS26" s="122">
        <f>'Funding Allocation'!$Y$36*1000*AS23*-1*AS25</f>
        <v>-106250</v>
      </c>
      <c r="AT26" s="122">
        <f>'Funding Allocation'!$Y$36*1000*AT23*-1*AT25</f>
        <v>-106250</v>
      </c>
      <c r="AU26" s="122">
        <f>'Funding Allocation'!$Z$36*1000*AU23*-1*AU25</f>
        <v>-106250</v>
      </c>
      <c r="AV26" s="122">
        <f>'Funding Allocation'!$Z$36*1000*AV23*-1*AV25</f>
        <v>-106250</v>
      </c>
      <c r="AW26" s="122">
        <f>'Funding Allocation'!$Z$36*1000*AW23*-1*AW25</f>
        <v>-106250</v>
      </c>
      <c r="AX26" s="122">
        <f>'Funding Allocation'!$AB$36*1000*AX23*-1*AX25</f>
        <v>-100000</v>
      </c>
      <c r="AY26" s="122">
        <f>'Funding Allocation'!$AB$36*1000*AY23*-1*AY25</f>
        <v>-100000</v>
      </c>
      <c r="AZ26" s="122">
        <f>'Funding Allocation'!$AB$36*1000*AZ23*-1*AZ25</f>
        <v>-100000</v>
      </c>
      <c r="BA26" s="122">
        <f>'Funding Allocation'!$AC$36*1000*BA23*-1*BA25</f>
        <v>-100000</v>
      </c>
      <c r="BB26" s="122">
        <f>'Funding Allocation'!$AC$36*1000*BB23*-1*BB25</f>
        <v>-100000</v>
      </c>
      <c r="BC26" s="122">
        <f>'Funding Allocation'!$AC$36*1000*BC23*-1*BC25</f>
        <v>-100000</v>
      </c>
      <c r="BD26" s="122">
        <f>'Funding Allocation'!$AD$36*1000*BD23*-1*BD25</f>
        <v>-100000</v>
      </c>
      <c r="BE26" s="122">
        <f>'Funding Allocation'!$AD$36*1000*BE23*-1*BE25</f>
        <v>-100000</v>
      </c>
      <c r="BF26" s="122">
        <f>'Funding Allocation'!$AD$36*1000*BF23*-1*BF25</f>
        <v>-100000</v>
      </c>
      <c r="BG26" s="122">
        <f>'Funding Allocation'!$AE$36*1000*BG23*-1*BG25</f>
        <v>-100000</v>
      </c>
      <c r="BH26" s="122">
        <f>'Funding Allocation'!$AE$36*1000*BH23*-1*BH25</f>
        <v>-100000</v>
      </c>
      <c r="BI26" s="286">
        <f>'Funding Allocation'!$AE$36*1000*BI23*-1*BI25</f>
        <v>-100000</v>
      </c>
      <c r="BJ26" s="122"/>
      <c r="BK26" s="141"/>
    </row>
    <row r="27" spans="1:93" outlineLevel="1" x14ac:dyDescent="0.3">
      <c r="A27" s="126" t="s">
        <v>183</v>
      </c>
      <c r="B27" s="141"/>
      <c r="C27" s="141"/>
      <c r="D27" s="141"/>
      <c r="E27" s="122">
        <f>E26</f>
        <v>-97500.000000000015</v>
      </c>
      <c r="F27" s="122">
        <f>E27+F26</f>
        <v>-195000.00000000003</v>
      </c>
      <c r="G27" s="122">
        <f t="shared" ref="G27:BI27" si="36">F27+G26</f>
        <v>-292500.00000000006</v>
      </c>
      <c r="H27" s="122">
        <f t="shared" si="36"/>
        <v>-390000.00000000006</v>
      </c>
      <c r="I27" s="122">
        <f t="shared" si="36"/>
        <v>-487500.00000000006</v>
      </c>
      <c r="J27" s="122">
        <f t="shared" si="36"/>
        <v>-585000.00000000012</v>
      </c>
      <c r="K27" s="122">
        <f t="shared" si="36"/>
        <v>-682500.00000000012</v>
      </c>
      <c r="L27" s="122">
        <f t="shared" si="36"/>
        <v>-780000.00000000012</v>
      </c>
      <c r="M27" s="122">
        <f t="shared" si="36"/>
        <v>-877500.00000000012</v>
      </c>
      <c r="N27" s="122">
        <f t="shared" si="36"/>
        <v>-992500.00000000012</v>
      </c>
      <c r="O27" s="122">
        <f t="shared" si="36"/>
        <v>-1107500</v>
      </c>
      <c r="P27" s="122">
        <f t="shared" si="36"/>
        <v>-1222500</v>
      </c>
      <c r="Q27" s="122">
        <f t="shared" si="36"/>
        <v>-1337500</v>
      </c>
      <c r="R27" s="122">
        <f t="shared" si="36"/>
        <v>-1452500</v>
      </c>
      <c r="S27" s="122">
        <f t="shared" si="36"/>
        <v>-1567500</v>
      </c>
      <c r="T27" s="122">
        <f t="shared" si="36"/>
        <v>-1682500</v>
      </c>
      <c r="U27" s="122">
        <f t="shared" si="36"/>
        <v>-1797500</v>
      </c>
      <c r="V27" s="122">
        <f t="shared" si="36"/>
        <v>-1912500</v>
      </c>
      <c r="W27" s="122">
        <f t="shared" si="36"/>
        <v>-2027500</v>
      </c>
      <c r="X27" s="122">
        <f t="shared" si="36"/>
        <v>-2142500</v>
      </c>
      <c r="Y27" s="122">
        <f t="shared" si="36"/>
        <v>-2257500</v>
      </c>
      <c r="Z27" s="122">
        <f t="shared" si="36"/>
        <v>-2358750</v>
      </c>
      <c r="AA27" s="122">
        <f t="shared" si="36"/>
        <v>-2460000</v>
      </c>
      <c r="AB27" s="122">
        <f t="shared" si="36"/>
        <v>-2561250</v>
      </c>
      <c r="AC27" s="122">
        <f t="shared" si="36"/>
        <v>-2662500</v>
      </c>
      <c r="AD27" s="122">
        <f t="shared" si="36"/>
        <v>-2763750</v>
      </c>
      <c r="AE27" s="122">
        <f t="shared" si="36"/>
        <v>-2865000</v>
      </c>
      <c r="AF27" s="122">
        <f t="shared" si="36"/>
        <v>-2966250</v>
      </c>
      <c r="AG27" s="122">
        <f t="shared" si="36"/>
        <v>-3067500</v>
      </c>
      <c r="AH27" s="122">
        <f t="shared" si="36"/>
        <v>-3168750</v>
      </c>
      <c r="AI27" s="122">
        <f t="shared" si="36"/>
        <v>-3270000</v>
      </c>
      <c r="AJ27" s="122">
        <f t="shared" si="36"/>
        <v>-3371250</v>
      </c>
      <c r="AK27" s="122">
        <f t="shared" si="36"/>
        <v>-3472500</v>
      </c>
      <c r="AL27" s="122">
        <f t="shared" si="36"/>
        <v>-3578750</v>
      </c>
      <c r="AM27" s="122">
        <f t="shared" si="36"/>
        <v>-3685000</v>
      </c>
      <c r="AN27" s="122">
        <f t="shared" si="36"/>
        <v>-3791250</v>
      </c>
      <c r="AO27" s="122">
        <f t="shared" si="36"/>
        <v>-3897500</v>
      </c>
      <c r="AP27" s="122">
        <f t="shared" si="36"/>
        <v>-4003750</v>
      </c>
      <c r="AQ27" s="122">
        <f t="shared" si="36"/>
        <v>-4110000</v>
      </c>
      <c r="AR27" s="122">
        <f t="shared" si="36"/>
        <v>-4216250</v>
      </c>
      <c r="AS27" s="122">
        <f t="shared" si="36"/>
        <v>-4322500</v>
      </c>
      <c r="AT27" s="122">
        <f t="shared" si="36"/>
        <v>-4428750</v>
      </c>
      <c r="AU27" s="122">
        <f t="shared" si="36"/>
        <v>-4535000</v>
      </c>
      <c r="AV27" s="122">
        <f t="shared" si="36"/>
        <v>-4641250</v>
      </c>
      <c r="AW27" s="122">
        <f t="shared" si="36"/>
        <v>-4747500</v>
      </c>
      <c r="AX27" s="122">
        <f t="shared" si="36"/>
        <v>-4847500</v>
      </c>
      <c r="AY27" s="122">
        <f t="shared" si="36"/>
        <v>-4947500</v>
      </c>
      <c r="AZ27" s="122">
        <f t="shared" si="36"/>
        <v>-5047500</v>
      </c>
      <c r="BA27" s="122">
        <f t="shared" si="36"/>
        <v>-5147500</v>
      </c>
      <c r="BB27" s="122">
        <f t="shared" si="36"/>
        <v>-5247500</v>
      </c>
      <c r="BC27" s="122">
        <f t="shared" si="36"/>
        <v>-5347500</v>
      </c>
      <c r="BD27" s="122">
        <f t="shared" si="36"/>
        <v>-5447500</v>
      </c>
      <c r="BE27" s="122">
        <f t="shared" si="36"/>
        <v>-5547500</v>
      </c>
      <c r="BF27" s="122">
        <f t="shared" si="36"/>
        <v>-5647500</v>
      </c>
      <c r="BG27" s="122">
        <f t="shared" si="36"/>
        <v>-5747500</v>
      </c>
      <c r="BH27" s="122">
        <f t="shared" si="36"/>
        <v>-5847500</v>
      </c>
      <c r="BI27" s="286">
        <f t="shared" si="36"/>
        <v>-5947500</v>
      </c>
      <c r="BJ27" s="122"/>
      <c r="BK27" s="141"/>
    </row>
    <row r="28" spans="1:93" outlineLevel="1" x14ac:dyDescent="0.3">
      <c r="A28" s="144" t="s">
        <v>116</v>
      </c>
      <c r="B28" s="145"/>
      <c r="C28" s="145"/>
      <c r="D28" s="150">
        <v>2.04</v>
      </c>
      <c r="E28" s="150">
        <v>2.0808</v>
      </c>
      <c r="F28" s="150">
        <v>2.0808</v>
      </c>
      <c r="G28" s="150">
        <v>2.0808</v>
      </c>
      <c r="H28" s="150">
        <v>2.0808</v>
      </c>
      <c r="I28" s="150">
        <v>2.0808</v>
      </c>
      <c r="J28" s="150">
        <v>2.0808</v>
      </c>
      <c r="K28" s="150">
        <v>2.0808</v>
      </c>
      <c r="L28" s="150">
        <v>2.0808</v>
      </c>
      <c r="M28" s="150">
        <v>2.0808</v>
      </c>
      <c r="N28" s="150">
        <v>2.0808</v>
      </c>
      <c r="O28" s="150">
        <v>2.0808</v>
      </c>
      <c r="P28" s="150">
        <v>2.0808</v>
      </c>
      <c r="Q28" s="150">
        <v>2.0808</v>
      </c>
      <c r="R28" s="150">
        <v>2.0808</v>
      </c>
      <c r="S28" s="150">
        <v>2.0808</v>
      </c>
      <c r="T28" s="150">
        <v>2.0808</v>
      </c>
      <c r="U28" s="150">
        <v>2.0808</v>
      </c>
      <c r="V28" s="150">
        <v>2.0808</v>
      </c>
      <c r="W28" s="150">
        <v>2.0808</v>
      </c>
      <c r="X28" s="150">
        <v>2.0808</v>
      </c>
      <c r="Y28" s="150">
        <v>2.0808</v>
      </c>
      <c r="Z28" s="150">
        <v>2.0808</v>
      </c>
      <c r="AA28" s="150">
        <v>2.0808</v>
      </c>
      <c r="AB28" s="150">
        <v>2.0808</v>
      </c>
      <c r="AC28" s="150">
        <v>2.0808</v>
      </c>
      <c r="AD28" s="150">
        <v>2.0808</v>
      </c>
      <c r="AE28" s="150">
        <v>2.0808</v>
      </c>
      <c r="AF28" s="150">
        <v>2.0808</v>
      </c>
      <c r="AG28" s="150">
        <v>2.0808</v>
      </c>
      <c r="AH28" s="150">
        <v>2.0808</v>
      </c>
      <c r="AI28" s="150">
        <v>2.0808</v>
      </c>
      <c r="AJ28" s="150">
        <v>2.0808</v>
      </c>
      <c r="AK28" s="150">
        <v>2.0808</v>
      </c>
      <c r="AL28" s="150">
        <v>2.0808</v>
      </c>
      <c r="AM28" s="150">
        <v>2.0808</v>
      </c>
      <c r="AN28" s="150">
        <v>2.0808</v>
      </c>
      <c r="AO28" s="150">
        <v>2.0808</v>
      </c>
      <c r="AP28" s="150">
        <v>2.0808</v>
      </c>
      <c r="AQ28" s="150">
        <v>2.0808</v>
      </c>
      <c r="AR28" s="150">
        <v>2.0808</v>
      </c>
      <c r="AS28" s="150">
        <v>2.0808</v>
      </c>
      <c r="AT28" s="150">
        <v>2.0808</v>
      </c>
      <c r="AU28" s="150">
        <v>2.0808</v>
      </c>
      <c r="AV28" s="150">
        <v>2.0808</v>
      </c>
      <c r="AW28" s="150">
        <v>2.0808</v>
      </c>
      <c r="AX28" s="150">
        <v>2.0808</v>
      </c>
      <c r="AY28" s="150">
        <v>2.0808</v>
      </c>
      <c r="AZ28" s="150">
        <v>2.0808</v>
      </c>
      <c r="BA28" s="150">
        <v>2.0808</v>
      </c>
      <c r="BB28" s="150">
        <v>2.0808</v>
      </c>
      <c r="BC28" s="150">
        <v>2.0808</v>
      </c>
      <c r="BD28" s="150">
        <v>2.0808</v>
      </c>
      <c r="BE28" s="150">
        <v>2.0808</v>
      </c>
      <c r="BF28" s="150">
        <v>2.0808</v>
      </c>
      <c r="BG28" s="150">
        <v>2.0808</v>
      </c>
      <c r="BH28" s="150">
        <v>2.0808</v>
      </c>
      <c r="BI28" s="287">
        <v>2.0808</v>
      </c>
      <c r="BJ28" s="282"/>
      <c r="BK28" s="282"/>
      <c r="BL28" s="65"/>
      <c r="BM28" s="65"/>
      <c r="BN28" s="65"/>
    </row>
    <row r="29" spans="1:93" x14ac:dyDescent="0.3">
      <c r="BK29" s="141"/>
    </row>
    <row r="30" spans="1:93" x14ac:dyDescent="0.3">
      <c r="A30" s="44" t="s">
        <v>95</v>
      </c>
      <c r="BK30" s="141"/>
    </row>
    <row r="31" spans="1:93" ht="15.6" x14ac:dyDescent="0.3">
      <c r="A31" s="96" t="s">
        <v>114</v>
      </c>
      <c r="B31" s="315">
        <f>Dashboard!B30</f>
        <v>12</v>
      </c>
    </row>
    <row r="32" spans="1:93" ht="15.6" x14ac:dyDescent="0.3">
      <c r="A32" s="96" t="s">
        <v>238</v>
      </c>
      <c r="B32" s="254">
        <f>Dashboard!B32/100</f>
        <v>0.4</v>
      </c>
    </row>
    <row r="33" spans="1:61" ht="15.6" x14ac:dyDescent="0.3">
      <c r="A33" s="191" t="s">
        <v>137</v>
      </c>
      <c r="B33" s="255">
        <f>ROUND('ICO Model'!C3/'ICO Model'!C10*B32,0)</f>
        <v>4364</v>
      </c>
    </row>
    <row r="34" spans="1:61" ht="15.6" x14ac:dyDescent="0.3">
      <c r="A34" s="191" t="s">
        <v>177</v>
      </c>
      <c r="B34" s="315">
        <f>Dashboard!B31</f>
        <v>10</v>
      </c>
    </row>
    <row r="35" spans="1:61" x14ac:dyDescent="0.3">
      <c r="A35" s="1"/>
    </row>
    <row r="39" spans="1:61" x14ac:dyDescent="0.3">
      <c r="AA39" s="557"/>
      <c r="AB39" s="557"/>
    </row>
    <row r="40" spans="1:61" x14ac:dyDescent="0.3">
      <c r="AA40" s="557"/>
      <c r="AB40" s="557"/>
    </row>
    <row r="41" spans="1:61" x14ac:dyDescent="0.3">
      <c r="AA41" s="557"/>
      <c r="AB41" s="557"/>
    </row>
    <row r="42" spans="1:61" x14ac:dyDescent="0.3">
      <c r="A42" s="538"/>
      <c r="D42" s="149"/>
      <c r="E42" s="149"/>
      <c r="F42" s="149"/>
      <c r="G42" s="149"/>
      <c r="H42" s="149"/>
      <c r="I42" s="149"/>
      <c r="J42" s="149"/>
      <c r="K42" s="149"/>
      <c r="L42" s="149"/>
      <c r="M42" s="149"/>
      <c r="N42" s="149"/>
      <c r="O42" s="149"/>
      <c r="P42" s="149"/>
      <c r="Q42" s="129"/>
      <c r="R42" s="149"/>
      <c r="S42" s="149"/>
      <c r="T42" s="149"/>
      <c r="U42" s="149"/>
      <c r="V42" s="149"/>
      <c r="W42" s="149"/>
      <c r="X42" s="149"/>
      <c r="Y42" s="149"/>
      <c r="Z42" s="149"/>
      <c r="AA42" s="557"/>
      <c r="AB42" s="557"/>
      <c r="AC42" s="149"/>
      <c r="AD42" s="149"/>
      <c r="AE42" s="149"/>
      <c r="AF42" s="149"/>
      <c r="AG42" s="149"/>
      <c r="AH42" s="149"/>
      <c r="AI42" s="149"/>
      <c r="AJ42" s="149"/>
      <c r="AK42" s="149"/>
      <c r="AL42" s="149"/>
      <c r="AM42" s="149"/>
      <c r="AN42" s="149"/>
      <c r="AO42" s="149"/>
      <c r="AP42" s="149"/>
      <c r="AQ42" s="149"/>
      <c r="AR42" s="149"/>
      <c r="AS42" s="149"/>
      <c r="AT42" s="149"/>
      <c r="AU42" s="149"/>
      <c r="AV42" s="149"/>
      <c r="AW42" s="149"/>
      <c r="AX42" s="129"/>
      <c r="AY42" s="129"/>
      <c r="AZ42" s="129"/>
      <c r="BA42" s="129"/>
      <c r="BB42" s="129"/>
      <c r="BC42" s="129"/>
      <c r="BD42" s="129"/>
      <c r="BE42" s="129"/>
      <c r="BF42" s="129"/>
      <c r="BG42" s="129"/>
      <c r="BH42" s="129"/>
      <c r="BI42" s="129"/>
    </row>
    <row r="43" spans="1:61" x14ac:dyDescent="0.3">
      <c r="AA43" s="557"/>
      <c r="AB43" s="557"/>
      <c r="BB43" s="557"/>
      <c r="BC43" s="557"/>
      <c r="BD43" s="557"/>
      <c r="BE43" s="557"/>
      <c r="BF43" s="557"/>
      <c r="BG43" s="557"/>
      <c r="BH43" s="557"/>
      <c r="BI43" s="557"/>
    </row>
    <row r="44" spans="1:61" x14ac:dyDescent="0.3">
      <c r="AA44" s="557"/>
      <c r="AB44" s="557"/>
    </row>
  </sheetData>
  <mergeCells count="13">
    <mergeCell ref="A1:A2"/>
    <mergeCell ref="CN3:CN4"/>
    <mergeCell ref="BK3:BN3"/>
    <mergeCell ref="BO3:BO4"/>
    <mergeCell ref="BP3:BS3"/>
    <mergeCell ref="BT3:BT4"/>
    <mergeCell ref="BU3:BX3"/>
    <mergeCell ref="BY3:BY4"/>
    <mergeCell ref="BZ3:CC3"/>
    <mergeCell ref="CD3:CD4"/>
    <mergeCell ref="CE3:CH3"/>
    <mergeCell ref="CI3:CI4"/>
    <mergeCell ref="CJ3:CM3"/>
  </mergeCells>
  <conditionalFormatting sqref="B31">
    <cfRule type="cellIs" dxfId="4" priority="6" operator="lessThan">
      <formula>0</formula>
    </cfRule>
  </conditionalFormatting>
  <conditionalFormatting sqref="B33">
    <cfRule type="cellIs" dxfId="3" priority="3" operator="lessThan">
      <formula>0</formula>
    </cfRule>
  </conditionalFormatting>
  <conditionalFormatting sqref="B32">
    <cfRule type="cellIs" dxfId="2" priority="5" operator="lessThan">
      <formula>0</formula>
    </cfRule>
  </conditionalFormatting>
  <conditionalFormatting sqref="B34">
    <cfRule type="cellIs" dxfId="1" priority="1" operator="lessThan">
      <formula>0</formula>
    </cfRule>
  </conditionalFormatting>
  <pageMargins left="0.7" right="0.7" top="0.78740157499999996" bottom="0.78740157499999996" header="0.3" footer="0.3"/>
  <ignoredErrors>
    <ignoredError sqref="BO7 BO15:BT15 BN14:CH14 CJ14:CN14 BO10:BP10 BT7 BY7 CD7 CI7 CN7 BT11 BY11 CD11 CI11 CN11 BO16:BT16 BV16:CN16 BO28:CN28 BO18:CN26 BT10 BY10 CD10 CI10 CN10 BW15:CB15 CD15:CI15 CK15:CN15" formula="1"/>
  </ignoredErrors>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ICO Overview</vt:lpstr>
      <vt:lpstr>Funding Allocation</vt:lpstr>
      <vt:lpstr>Dashboard</vt:lpstr>
      <vt:lpstr>ICO Model</vt:lpstr>
      <vt:lpstr>User Data SwipeStox</vt:lpstr>
      <vt:lpstr>User Data Switex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2017-12-10T19:23:38Z</dcterms:modified>
</cp:coreProperties>
</file>