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Январь_2025" sheetId="1" r:id="rId4"/>
    <sheet state="visible" name="Февраль_2025" sheetId="2" r:id="rId5"/>
    <sheet state="visible" name="Март_2025" sheetId="3" r:id="rId6"/>
    <sheet state="visible" name="Апрель_2025" sheetId="4" r:id="rId7"/>
    <sheet state="visible" name="Май_2025" sheetId="5" r:id="rId8"/>
    <sheet state="visible" name="Июнь_2025" sheetId="6" r:id="rId9"/>
    <sheet state="visible" name="ОсновныеМетрики" sheetId="7" r:id="rId10"/>
    <sheet state="visible" name="AOV_Revenue" sheetId="8" r:id="rId11"/>
    <sheet state="visible" name="ДЗ" sheetId="9" r:id="rId12"/>
  </sheets>
  <definedNames>
    <definedName hidden="1" localSheetId="8" name="_xlnm._FilterDatabase">'ДЗ'!$A$5:$V$84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бывш. Шахмаев Р.В. ИП
	-Ольга
----
значение у Демидова СВ
	-Ольга
----
разница Ангстрем Великан ?
	-Ольга
----
почему изменилась площадь? Была 160,44кв.м.
	-Ольга</t>
      </text>
    </comment>
  </commentList>
</comments>
</file>

<file path=xl/sharedStrings.xml><?xml version="1.0" encoding="utf-8"?>
<sst xmlns="http://schemas.openxmlformats.org/spreadsheetml/2006/main" count="2689" uniqueCount="213">
  <si>
    <t>Филиал ТЦ</t>
  </si>
  <si>
    <t>ID арендатора</t>
  </si>
  <si>
    <t>Магазин</t>
  </si>
  <si>
    <t>Категория</t>
  </si>
  <si>
    <t>Номер помещения</t>
  </si>
  <si>
    <t>Площадь (м²)</t>
  </si>
  <si>
    <t>Продажи/мес</t>
  </si>
  <si>
    <t>Выручка (руб/мес)</t>
  </si>
  <si>
    <t>Долг по аренде (руб)</t>
  </si>
  <si>
    <t>Гранд Интерьер</t>
  </si>
  <si>
    <t>TCW-001</t>
  </si>
  <si>
    <t>Портал Домой</t>
  </si>
  <si>
    <t>Двери</t>
  </si>
  <si>
    <t>Дом Будущего</t>
  </si>
  <si>
    <t>TCN-001</t>
  </si>
  <si>
    <t>СтильДверь</t>
  </si>
  <si>
    <t>Мебельный Плаза</t>
  </si>
  <si>
    <t>TCE-001</t>
  </si>
  <si>
    <t>Дверной Рай</t>
  </si>
  <si>
    <t>Уютный Квартал</t>
  </si>
  <si>
    <t>TCS-001</t>
  </si>
  <si>
    <t>Закрыто на Отлично</t>
  </si>
  <si>
    <t>TCW-002</t>
  </si>
  <si>
    <t>Детский Мир Мебели</t>
  </si>
  <si>
    <t>Детская мебель</t>
  </si>
  <si>
    <t>TCW-003</t>
  </si>
  <si>
    <t>МалышОК</t>
  </si>
  <si>
    <t>TCN-002</t>
  </si>
  <si>
    <t>Растем Вместе</t>
  </si>
  <si>
    <t>TCN-003</t>
  </si>
  <si>
    <t>ИгроМебель</t>
  </si>
  <si>
    <t>TCE-002</t>
  </si>
  <si>
    <t>TCE-003</t>
  </si>
  <si>
    <t>Карапуз &amp; К</t>
  </si>
  <si>
    <t>TCS-002</t>
  </si>
  <si>
    <t>Комната Чудес</t>
  </si>
  <si>
    <t>TCS-003</t>
  </si>
  <si>
    <t>Уютное детство</t>
  </si>
  <si>
    <t>TCW-008</t>
  </si>
  <si>
    <t>Гардероб &amp; Ко</t>
  </si>
  <si>
    <t>Корпусная мебель</t>
  </si>
  <si>
    <t>TCW-017</t>
  </si>
  <si>
    <t>Гранд</t>
  </si>
  <si>
    <t>TCN-010</t>
  </si>
  <si>
    <t>Система Хранения</t>
  </si>
  <si>
    <t>TCN-020</t>
  </si>
  <si>
    <t>Box &amp; Box</t>
  </si>
  <si>
    <t>TCE-010</t>
  </si>
  <si>
    <t>ШкафоМания</t>
  </si>
  <si>
    <t>TCE-020</t>
  </si>
  <si>
    <t>КлассикМебель</t>
  </si>
  <si>
    <t>TCS-010</t>
  </si>
  <si>
    <t>Модуль Дома</t>
  </si>
  <si>
    <t>TCS-020</t>
  </si>
  <si>
    <t>МодульPRO</t>
  </si>
  <si>
    <t>TCE-004</t>
  </si>
  <si>
    <t>Сон Без Границ</t>
  </si>
  <si>
    <t>Кровати и матрасы</t>
  </si>
  <si>
    <t>TCE-005</t>
  </si>
  <si>
    <t>DreamLine</t>
  </si>
  <si>
    <t>TCS-004</t>
  </si>
  <si>
    <t>ОртоСон</t>
  </si>
  <si>
    <t>TCS-005</t>
  </si>
  <si>
    <t>TCW-014</t>
  </si>
  <si>
    <t>Готовим с Уютом</t>
  </si>
  <si>
    <t>Кухонная мебель</t>
  </si>
  <si>
    <t>TCW-015</t>
  </si>
  <si>
    <t>Гастрономика</t>
  </si>
  <si>
    <t>TCW-016</t>
  </si>
  <si>
    <t>Chef’s Hom</t>
  </si>
  <si>
    <t>TCW-018</t>
  </si>
  <si>
    <t>Кухни на Заказ</t>
  </si>
  <si>
    <t>TCN-016</t>
  </si>
  <si>
    <t>TCN-017</t>
  </si>
  <si>
    <t>Сердце Дома</t>
  </si>
  <si>
    <t>TCN-018</t>
  </si>
  <si>
    <t>TCN-019</t>
  </si>
  <si>
    <t>АртКухня</t>
  </si>
  <si>
    <t>TCE-016</t>
  </si>
  <si>
    <t>КухняМечты</t>
  </si>
  <si>
    <t>TCE-017</t>
  </si>
  <si>
    <t>Вкус Интерьера</t>
  </si>
  <si>
    <t>TCE-018</t>
  </si>
  <si>
    <t>TCE-019</t>
  </si>
  <si>
    <t>КухняМастер</t>
  </si>
  <si>
    <t>TCS-016</t>
  </si>
  <si>
    <t>Кухонный Рай</t>
  </si>
  <si>
    <t>TCS-017</t>
  </si>
  <si>
    <t>TCS-018</t>
  </si>
  <si>
    <t>МодульГотовки</t>
  </si>
  <si>
    <t>TCS-019</t>
  </si>
  <si>
    <t>TCW-004</t>
  </si>
  <si>
    <t>Мягкие Троны</t>
  </si>
  <si>
    <t>Мягкая мебель</t>
  </si>
  <si>
    <t>TCW-005</t>
  </si>
  <si>
    <t>Обнимая Диван</t>
  </si>
  <si>
    <t>TCW-006</t>
  </si>
  <si>
    <t>Sofa Lounge</t>
  </si>
  <si>
    <t>TCW-007</t>
  </si>
  <si>
    <t>Гнездо Уюта</t>
  </si>
  <si>
    <t>TCN-006</t>
  </si>
  <si>
    <t>Уголок Комфорта</t>
  </si>
  <si>
    <t>TCN-007</t>
  </si>
  <si>
    <t>TCN-008</t>
  </si>
  <si>
    <t>Релакс Зона</t>
  </si>
  <si>
    <t>TCN-009</t>
  </si>
  <si>
    <t>Диваныч</t>
  </si>
  <si>
    <t>TCE-006</t>
  </si>
  <si>
    <t>Диванный Рай</t>
  </si>
  <si>
    <t>TCE-007</t>
  </si>
  <si>
    <t>TCE-008</t>
  </si>
  <si>
    <t>Диванчик</t>
  </si>
  <si>
    <t>TCE-009</t>
  </si>
  <si>
    <t>SoftLife</t>
  </si>
  <si>
    <t>TCS-006</t>
  </si>
  <si>
    <t>Пуф &amp; Ко</t>
  </si>
  <si>
    <t>TCS-007</t>
  </si>
  <si>
    <t>TCS-008</t>
  </si>
  <si>
    <t>TCS-009</t>
  </si>
  <si>
    <t>TCW-011</t>
  </si>
  <si>
    <t>Бизнес Интерьер</t>
  </si>
  <si>
    <t>Офисная мебель</t>
  </si>
  <si>
    <t>TCN-013</t>
  </si>
  <si>
    <t>Рабочий Стандарт</t>
  </si>
  <si>
    <t>TCE-013</t>
  </si>
  <si>
    <t>ОфисГрад</t>
  </si>
  <si>
    <t>TCS-013</t>
  </si>
  <si>
    <t>Офис &amp; Ко</t>
  </si>
  <si>
    <t>TCW-010</t>
  </si>
  <si>
    <t>АртИнтерьер</t>
  </si>
  <si>
    <t>Предметы интерьера</t>
  </si>
  <si>
    <t>TCN-012</t>
  </si>
  <si>
    <t>Акцент в Доме</t>
  </si>
  <si>
    <t>TCE-012</t>
  </si>
  <si>
    <t>ДекорДом</t>
  </si>
  <si>
    <t>TCS-012</t>
  </si>
  <si>
    <t>Детали Уюта</t>
  </si>
  <si>
    <t>Пустой</t>
  </si>
  <si>
    <t>TCW-012</t>
  </si>
  <si>
    <t>Стул &amp; Престол</t>
  </si>
  <si>
    <t>Столы и стулья</t>
  </si>
  <si>
    <t>TCN-014</t>
  </si>
  <si>
    <t>Обеденный Клуб</t>
  </si>
  <si>
    <t>TCE-014</t>
  </si>
  <si>
    <t>СтолСтул</t>
  </si>
  <si>
    <t>TCS-014</t>
  </si>
  <si>
    <t>Форма Сидения</t>
  </si>
  <si>
    <t>TCW-013</t>
  </si>
  <si>
    <t>Умный Быт</t>
  </si>
  <si>
    <t>Техника</t>
  </si>
  <si>
    <t>TCN-015</t>
  </si>
  <si>
    <t>Гаджет &amp; Гаджет</t>
  </si>
  <si>
    <t>TCE-015</t>
  </si>
  <si>
    <t>ТехноДом</t>
  </si>
  <si>
    <t>TCS-015</t>
  </si>
  <si>
    <t>ТехноЛидер</t>
  </si>
  <si>
    <t>TCW-009</t>
  </si>
  <si>
    <t>Patio &amp; Garden</t>
  </si>
  <si>
    <t>Уличная мебель</t>
  </si>
  <si>
    <t>TCN-011</t>
  </si>
  <si>
    <t>Летний Интерьер</t>
  </si>
  <si>
    <t>TCE-011</t>
  </si>
  <si>
    <t>Садовый Рай</t>
  </si>
  <si>
    <t>TCS-011</t>
  </si>
  <si>
    <t>Мебель для Открытого Неба</t>
  </si>
  <si>
    <t>Общая площадь (м²)</t>
  </si>
  <si>
    <t>Арендуемая площадь (м²)</t>
  </si>
  <si>
    <t>Помещений всего, шт</t>
  </si>
  <si>
    <t>Магазинов, шт</t>
  </si>
  <si>
    <t>Всего продаж (мес)</t>
  </si>
  <si>
    <t>Общая вручка (руб/мес)</t>
  </si>
  <si>
    <t>Общий долг по аренде (руб)</t>
  </si>
  <si>
    <t>Удельная выручка (руб/мес)</t>
  </si>
  <si>
    <t>Доля, %</t>
  </si>
  <si>
    <t>Средний чек, руб</t>
  </si>
  <si>
    <t>Выручка с кв.м</t>
  </si>
  <si>
    <t>Доля</t>
  </si>
  <si>
    <t>Средний чек</t>
  </si>
  <si>
    <t>Столбец 3</t>
  </si>
  <si>
    <t>Присядь</t>
  </si>
  <si>
    <t>TCS-021</t>
  </si>
  <si>
    <t>TCS-023</t>
  </si>
  <si>
    <t>TCS-022</t>
  </si>
  <si>
    <t>ПоДождем</t>
  </si>
  <si>
    <t>Динамика основных метрик</t>
  </si>
  <si>
    <t>Январь_2025</t>
  </si>
  <si>
    <t>Февраль_2025</t>
  </si>
  <si>
    <t>Март_2025</t>
  </si>
  <si>
    <t>Апрель_2025</t>
  </si>
  <si>
    <t>Май_2025</t>
  </si>
  <si>
    <t>Июнь_2025</t>
  </si>
  <si>
    <t>Должна ли метрика расти?</t>
  </si>
  <si>
    <t>План</t>
  </si>
  <si>
    <t>Факт</t>
  </si>
  <si>
    <t>%</t>
  </si>
  <si>
    <t>Основные метрики</t>
  </si>
  <si>
    <t>Площадь , м²</t>
  </si>
  <si>
    <t>да</t>
  </si>
  <si>
    <t>Магазинов, шт.</t>
  </si>
  <si>
    <t>Продаж, шт</t>
  </si>
  <si>
    <t>Выручка, руб/мес</t>
  </si>
  <si>
    <t>Долг, руб</t>
  </si>
  <si>
    <t>нет</t>
  </si>
  <si>
    <t>По филиалам</t>
  </si>
  <si>
    <t>Динамика среднего чека и выручки с кв.м. по категориям</t>
  </si>
  <si>
    <t>Доля от общей площади</t>
  </si>
  <si>
    <t>Средний чек, руб/кв.м.</t>
  </si>
  <si>
    <t>К предыдущему периоду, %</t>
  </si>
  <si>
    <t>Выручка, руб/кв.м.</t>
  </si>
  <si>
    <t>По категориям</t>
  </si>
  <si>
    <t>Дебиторская задолженность</t>
  </si>
  <si>
    <t>Март_2005</t>
  </si>
  <si>
    <t>Задолженность, руб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</si>
</sst>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_-* #\ ##0.0_р_._-;\-* #\ ##0.0_р_._-;_-* &quot;-&quot;??_р_._-;_-@"/>
    <numFmt numFmtId="166" formatCode="_-* #\ ##0_р_._-;\-* #\ ##0_р_._-;_-* &quot;-&quot;??_р_._-;_-@"/>
    <numFmt numFmtId="167" formatCode="0.0%"/>
  </numFmts>
  <fonts count="37">
    <font>
      <sz val="11.0"/>
      <color theme="1"/>
      <name val="Calibri"/>
      <scheme val="minor"/>
    </font>
    <font>
      <sz val="10.0"/>
      <color theme="1"/>
      <name val="Roboto"/>
    </font>
    <font>
      <sz val="10.0"/>
      <color rgb="FF2A3243"/>
      <name val="Roboto"/>
    </font>
    <font>
      <sz val="10.0"/>
      <color rgb="FF434343"/>
      <name val="Roboto"/>
    </font>
    <font>
      <sz val="10.0"/>
      <color rgb="FF383A3C"/>
      <name val="Roboto"/>
    </font>
    <font>
      <sz val="10.0"/>
      <color rgb="FF133819"/>
      <name val="Roboto"/>
    </font>
    <font>
      <sz val="10.0"/>
      <color rgb="FF2C481F"/>
      <name val="Roboto"/>
    </font>
    <font>
      <sz val="10.0"/>
      <color rgb="FF404040"/>
      <name val="Roboto"/>
    </font>
    <font>
      <sz val="10.0"/>
      <color rgb="FF3F4170"/>
      <name val="Roboto"/>
    </font>
    <font>
      <b/>
      <color rgb="FFE06666"/>
      <name val="Roboto Mono"/>
    </font>
    <font>
      <color theme="1"/>
      <name val="Arial"/>
    </font>
    <font>
      <sz val="10.0"/>
      <color theme="1"/>
      <name val="Calibri"/>
      <scheme val="minor"/>
    </font>
    <font>
      <sz val="12.0"/>
      <color theme="1"/>
      <name val="Roboto"/>
    </font>
    <font>
      <b/>
      <sz val="14.0"/>
      <color rgb="FF666666"/>
      <name val="Roboto"/>
    </font>
    <font>
      <sz val="10.0"/>
      <color rgb="FF000000"/>
      <name val="Roboto"/>
    </font>
    <font>
      <color rgb="FF000000"/>
      <name val="Roboto"/>
    </font>
    <font>
      <b/>
      <color rgb="FF000000"/>
      <name val="Roboto"/>
    </font>
    <font>
      <b/>
      <sz val="10.0"/>
      <color rgb="FF000000"/>
      <name val="Roboto"/>
    </font>
    <font>
      <b/>
      <sz val="12.0"/>
      <color rgb="FF000000"/>
      <name val="Calibri"/>
      <scheme val="minor"/>
    </font>
    <font>
      <b/>
      <sz val="12.0"/>
      <color rgb="FF000000"/>
      <name val="Roboto"/>
    </font>
    <font/>
    <font>
      <b/>
      <sz val="10.0"/>
      <color rgb="FF000000"/>
      <name val="Calibri"/>
      <scheme val="minor"/>
    </font>
    <font>
      <b/>
      <sz val="10.0"/>
      <color theme="1"/>
      <name val="Roboto"/>
    </font>
    <font>
      <sz val="10.0"/>
      <color rgb="FF000000"/>
      <name val="Calibri"/>
    </font>
    <font>
      <b/>
      <sz val="10.0"/>
      <color rgb="FF000000"/>
      <name val="Calibri"/>
    </font>
    <font>
      <color rgb="FF000000"/>
      <name val="Calibri"/>
      <scheme val="minor"/>
    </font>
    <font>
      <b/>
      <sz val="14.0"/>
      <color theme="1"/>
      <name val="Roboto"/>
    </font>
    <font>
      <b/>
      <sz val="12.0"/>
      <color theme="1"/>
      <name val="Roboto"/>
    </font>
    <font>
      <b/>
      <sz val="8.0"/>
      <color theme="1"/>
      <name val="Roboto"/>
    </font>
    <font>
      <color theme="1"/>
      <name val="Calibri"/>
      <scheme val="minor"/>
    </font>
    <font>
      <color theme="1"/>
      <name val="Roboto"/>
    </font>
    <font>
      <b/>
      <sz val="10.0"/>
      <color rgb="FF404040"/>
      <name val="Roboto"/>
    </font>
    <font>
      <b/>
      <sz val="10.0"/>
      <color rgb="FF2A3243"/>
      <name val="Roboto"/>
    </font>
    <font>
      <b/>
      <sz val="10.0"/>
      <color rgb="FF434343"/>
      <name val="Roboto"/>
    </font>
    <font>
      <b/>
      <sz val="10.0"/>
      <color rgb="FF133819"/>
      <name val="Roboto"/>
    </font>
    <font>
      <b/>
      <sz val="10.0"/>
      <color rgb="FF2C481F"/>
      <name val="Roboto"/>
    </font>
    <font>
      <b/>
      <sz val="10.0"/>
      <color rgb="FF3F417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0">
    <border/>
    <border>
      <left style="thin">
        <color rgb="FF4A535C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4A535C"/>
      </right>
      <top style="thin">
        <color rgb="FFD9D9D9"/>
      </top>
      <bottom style="thin">
        <color rgb="FFD9D9D9"/>
      </bottom>
    </border>
    <border>
      <left style="thin">
        <color rgb="FF4A535C"/>
      </left>
      <right style="thin">
        <color rgb="FFD9D9D9"/>
      </right>
      <top style="thin">
        <color rgb="FFD9D9D9"/>
      </top>
      <bottom style="thin">
        <color rgb="FF4A535C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4A535C"/>
      </bottom>
    </border>
    <border>
      <left style="thin">
        <color rgb="FFD9D9D9"/>
      </left>
      <right style="thin">
        <color rgb="FF4A535C"/>
      </right>
      <top style="thin">
        <color rgb="FFD9D9D9"/>
      </top>
      <bottom style="thin">
        <color rgb="FF4A535C"/>
      </bottom>
    </border>
    <border>
      <left style="thin">
        <color rgb="FF38416A"/>
      </left>
      <right style="thin">
        <color rgb="FF38416A"/>
      </right>
      <top style="thin">
        <color rgb="FF38416A"/>
      </top>
      <bottom style="thin">
        <color rgb="FF38416A"/>
      </bottom>
    </border>
    <border>
      <left style="thin">
        <color rgb="FF38416A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38416A"/>
      </right>
      <top style="thin">
        <color rgb="FFD9D9D9"/>
      </top>
      <bottom style="thin">
        <color rgb="FFD9D9D9"/>
      </bottom>
    </border>
    <border>
      <left style="thin">
        <color rgb="FF38416A"/>
      </left>
      <right style="thin">
        <color rgb="FFD9D9D9"/>
      </right>
      <top style="thin">
        <color rgb="FFD9D9D9"/>
      </top>
      <bottom style="thin">
        <color rgb="FF38416A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38416A"/>
      </bottom>
    </border>
    <border>
      <left style="thin">
        <color rgb="FFD9D9D9"/>
      </left>
      <right style="thin">
        <color rgb="FF38416A"/>
      </right>
      <top style="thin">
        <color rgb="FFD9D9D9"/>
      </top>
      <bottom style="thin">
        <color rgb="FF38416A"/>
      </bottom>
    </border>
    <border>
      <right style="thin">
        <color rgb="FFB7B7B7"/>
      </right>
    </border>
    <border>
      <right style="thin">
        <color rgb="FFB7B7B7"/>
      </right>
      <top style="thin">
        <color rgb="FFB7B7B7"/>
      </top>
    </border>
    <border>
      <top style="thin">
        <color rgb="FFB7B7B7"/>
      </top>
    </border>
    <border>
      <right style="thin">
        <color rgb="FF999999"/>
      </right>
    </border>
    <border>
      <left style="thin">
        <color rgb="FFD9D9D9"/>
      </left>
    </border>
    <border>
      <right style="thin">
        <color rgb="FFD9D9D9"/>
      </right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left style="thin">
        <color rgb="FFD9D9D9"/>
      </left>
      <top style="thin">
        <color rgb="FFFFFFFF"/>
      </top>
    </border>
    <border>
      <right style="thin">
        <color rgb="FFD9D9D9"/>
      </right>
      <top style="thin">
        <color rgb="FFFFFFFF"/>
      </top>
    </border>
    <border>
      <left style="thin">
        <color rgb="FFD9D9D9"/>
      </left>
      <right style="thin">
        <color rgb="FFFFFFFF"/>
      </right>
      <top style="thin">
        <color rgb="FFFFFFFF"/>
      </top>
    </border>
    <border>
      <left style="thin">
        <color rgb="FFFFFFFF"/>
      </left>
    </border>
    <border>
      <left style="thin">
        <color rgb="FFD9D9D9"/>
      </left>
      <bottom style="thin">
        <color rgb="FFFFFFFF"/>
      </bottom>
    </border>
    <border>
      <bottom style="thin">
        <color rgb="FFFFFFFF"/>
      </bottom>
    </border>
    <border>
      <left style="thin">
        <color rgb="FFD9D9D9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4" xfId="0" applyAlignment="1" applyBorder="1" applyFont="1" applyNumberForma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2" fillId="2" fontId="2" numFmtId="0" xfId="0" applyAlignment="1" applyBorder="1" applyFill="1" applyFont="1">
      <alignment shrinkToFit="0" vertical="center" wrapText="0"/>
    </xf>
    <xf borderId="3" fillId="2" fontId="3" numFmtId="0" xfId="0" applyAlignment="1" applyBorder="1" applyFont="1">
      <alignment readingOrder="0" shrinkToFit="0" vertical="center" wrapText="0"/>
    </xf>
    <xf borderId="3" fillId="2" fontId="4" numFmtId="0" xfId="0" applyAlignment="1" applyBorder="1" applyFont="1">
      <alignment shrinkToFit="0" vertical="center" wrapText="0"/>
    </xf>
    <xf borderId="3" fillId="2" fontId="3" numFmtId="0" xfId="0" applyAlignment="1" applyBorder="1" applyFont="1">
      <alignment horizontal="right" readingOrder="0" shrinkToFit="0" vertical="center" wrapText="0"/>
    </xf>
    <xf borderId="3" fillId="2" fontId="3" numFmtId="4" xfId="0" applyAlignment="1" applyBorder="1" applyFont="1" applyNumberFormat="1">
      <alignment horizontal="right" readingOrder="0" shrinkToFit="0" vertical="center" wrapText="0"/>
    </xf>
    <xf borderId="4" fillId="2" fontId="3" numFmtId="164" xfId="0" applyAlignment="1" applyBorder="1" applyFont="1" applyNumberFormat="1">
      <alignment horizontal="right" readingOrder="0" shrinkToFit="0" vertical="center" wrapText="0"/>
    </xf>
    <xf borderId="2" fillId="2" fontId="5" numFmtId="0" xfId="0" applyAlignment="1" applyBorder="1" applyFont="1">
      <alignment shrinkToFit="0" vertical="center" wrapText="0"/>
    </xf>
    <xf borderId="2" fillId="2" fontId="6" numFmtId="0" xfId="0" applyAlignment="1" applyBorder="1" applyFont="1">
      <alignment shrinkToFit="0" vertical="center" wrapText="0"/>
    </xf>
    <xf borderId="3" fillId="2" fontId="7" numFmtId="0" xfId="0" applyAlignment="1" applyBorder="1" applyFont="1">
      <alignment horizontal="left" readingOrder="0" shrinkToFit="0" vertical="center" wrapText="0"/>
    </xf>
    <xf borderId="2" fillId="2" fontId="8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4" xfId="0" applyAlignment="1" applyBorder="1" applyFont="1" applyNumberForma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4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9" numFmtId="9" xfId="0" applyAlignment="1" applyFont="1" applyNumberFormat="1">
      <alignment horizontal="right"/>
    </xf>
    <xf borderId="0" fillId="0" fontId="10" numFmtId="9" xfId="0" applyFont="1" applyNumberFormat="1"/>
    <xf borderId="8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horizontal="right" readingOrder="0" shrinkToFit="0" vertical="center" wrapText="1"/>
    </xf>
    <xf borderId="8" fillId="0" fontId="11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3" fillId="0" fontId="1" numFmtId="165" xfId="0" applyAlignment="1" applyBorder="1" applyFont="1" applyNumberForma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1" numFmtId="166" xfId="0" applyAlignment="1" applyBorder="1" applyFont="1" applyNumberFormat="1">
      <alignment shrinkToFit="0" vertical="center" wrapText="0"/>
    </xf>
    <xf borderId="3" fillId="0" fontId="1" numFmtId="4" xfId="0" applyAlignment="1" applyBorder="1" applyFont="1" applyNumberFormat="1">
      <alignment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165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166" xfId="0" applyAlignment="1" applyBorder="1" applyFont="1" applyNumberFormat="1">
      <alignment shrinkToFit="0" vertical="center" wrapText="0"/>
    </xf>
    <xf borderId="12" fillId="0" fontId="1" numFmtId="4" xfId="0" applyAlignment="1" applyBorder="1" applyFont="1" applyNumberFormat="1">
      <alignment shrinkToFit="0" vertical="center" wrapText="0"/>
    </xf>
    <xf borderId="13" fillId="0" fontId="1" numFmtId="164" xfId="0" applyAlignment="1" applyBorder="1" applyFont="1" applyNumberFormat="1">
      <alignment shrinkToFit="0" vertical="center" wrapText="0"/>
    </xf>
    <xf borderId="0" fillId="0" fontId="12" numFmtId="0" xfId="0" applyFont="1"/>
    <xf borderId="0" fillId="0" fontId="12" numFmtId="0" xfId="0" applyAlignment="1" applyFont="1">
      <alignment horizontal="center"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readingOrder="0" shrinkToFit="0" wrapText="1"/>
    </xf>
    <xf borderId="14" fillId="0" fontId="1" numFmtId="0" xfId="0" applyAlignment="1" applyBorder="1" applyFont="1">
      <alignment horizontal="right" readingOrder="0" shrinkToFit="0" wrapText="1"/>
    </xf>
    <xf borderId="0" fillId="0" fontId="1" numFmtId="0" xfId="0" applyAlignment="1" applyFont="1">
      <alignment horizontal="right" shrinkToFit="0" vertical="bottom" wrapText="1"/>
    </xf>
    <xf borderId="14" fillId="0" fontId="1" numFmtId="0" xfId="0" applyAlignment="1" applyBorder="1" applyFont="1">
      <alignment horizontal="right" shrinkToFit="0" vertical="bottom" wrapText="1"/>
    </xf>
    <xf borderId="15" fillId="0" fontId="1" numFmtId="0" xfId="0" applyBorder="1" applyFont="1"/>
    <xf borderId="16" fillId="0" fontId="1" numFmtId="10" xfId="0" applyBorder="1" applyFont="1" applyNumberFormat="1"/>
    <xf borderId="16" fillId="0" fontId="1" numFmtId="4" xfId="0" applyBorder="1" applyFont="1" applyNumberFormat="1"/>
    <xf borderId="15" fillId="0" fontId="1" numFmtId="4" xfId="0" applyBorder="1" applyFont="1" applyNumberFormat="1"/>
    <xf borderId="14" fillId="0" fontId="1" numFmtId="0" xfId="0" applyBorder="1" applyFont="1"/>
    <xf borderId="0" fillId="0" fontId="1" numFmtId="10" xfId="0" applyFont="1" applyNumberFormat="1"/>
    <xf borderId="0" fillId="0" fontId="1" numFmtId="4" xfId="0" applyFont="1" applyNumberFormat="1"/>
    <xf borderId="14" fillId="0" fontId="1" numFmtId="4" xfId="0" applyBorder="1" applyFont="1" applyNumberFormat="1"/>
    <xf borderId="9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horizontal="right" readingOrder="0" shrinkToFit="0" vertical="center" wrapText="1"/>
    </xf>
    <xf borderId="0" fillId="0" fontId="13" numFmtId="0" xfId="0" applyAlignment="1" applyFont="1">
      <alignment readingOrder="0" shrinkToFit="0" vertical="top" wrapText="1"/>
    </xf>
    <xf borderId="0" fillId="0" fontId="14" numFmtId="0" xfId="0" applyAlignment="1" applyFont="1">
      <alignment horizontal="left"/>
    </xf>
    <xf borderId="0" fillId="0" fontId="15" numFmtId="0" xfId="0" applyFont="1"/>
    <xf borderId="0" fillId="0" fontId="16" numFmtId="0" xfId="0" applyFont="1"/>
    <xf borderId="0" fillId="0" fontId="17" numFmtId="0" xfId="0" applyAlignment="1" applyFont="1">
      <alignment horizontal="left"/>
    </xf>
    <xf borderId="0" fillId="0" fontId="18" numFmtId="0" xfId="0" applyAlignment="1" applyFont="1">
      <alignment horizontal="left"/>
    </xf>
    <xf borderId="0" fillId="0" fontId="19" numFmtId="0" xfId="0" applyAlignment="1" applyFont="1">
      <alignment horizontal="center" readingOrder="0"/>
    </xf>
    <xf borderId="14" fillId="0" fontId="20" numFmtId="0" xfId="0" applyBorder="1" applyFont="1"/>
    <xf borderId="0" fillId="0" fontId="17" numFmtId="0" xfId="0" applyAlignment="1" applyFont="1">
      <alignment horizontal="left" readingOrder="0"/>
    </xf>
    <xf borderId="0" fillId="0" fontId="17" numFmtId="0" xfId="0" applyAlignment="1" applyFont="1">
      <alignment horizontal="right" readingOrder="0"/>
    </xf>
    <xf borderId="0" fillId="0" fontId="21" numFmtId="0" xfId="0" applyFont="1"/>
    <xf borderId="14" fillId="0" fontId="17" numFmtId="0" xfId="0" applyAlignment="1" applyBorder="1" applyFont="1">
      <alignment horizontal="right" readingOrder="0"/>
    </xf>
    <xf borderId="0" fillId="0" fontId="19" numFmtId="0" xfId="0" applyAlignment="1" applyFont="1">
      <alignment vertical="center"/>
    </xf>
    <xf borderId="0" fillId="0" fontId="14" numFmtId="3" xfId="0" applyAlignment="1" applyFont="1" applyNumberFormat="1">
      <alignment horizontal="left" vertical="center"/>
    </xf>
    <xf borderId="0" fillId="0" fontId="14" numFmtId="3" xfId="0" applyAlignment="1" applyFont="1" applyNumberFormat="1">
      <alignment vertical="center"/>
    </xf>
    <xf borderId="0" fillId="0" fontId="17" numFmtId="9" xfId="0" applyAlignment="1" applyFont="1" applyNumberFormat="1">
      <alignment vertical="center"/>
    </xf>
    <xf borderId="14" fillId="0" fontId="15" numFmtId="9" xfId="0" applyAlignment="1" applyBorder="1" applyFont="1" applyNumberFormat="1">
      <alignment vertical="center"/>
    </xf>
    <xf borderId="14" fillId="0" fontId="14" numFmtId="9" xfId="0" applyAlignment="1" applyBorder="1" applyFont="1" applyNumberFormat="1">
      <alignment vertical="center"/>
    </xf>
    <xf borderId="0" fillId="0" fontId="14" numFmtId="0" xfId="0" applyAlignment="1" applyFont="1">
      <alignment readingOrder="0"/>
    </xf>
    <xf borderId="0" fillId="0" fontId="17" numFmtId="3" xfId="0" applyAlignment="1" applyFont="1" applyNumberFormat="1">
      <alignment horizontal="left" readingOrder="0"/>
    </xf>
    <xf borderId="0" fillId="0" fontId="17" numFmtId="3" xfId="0" applyAlignment="1" applyFont="1" applyNumberFormat="1">
      <alignment horizontal="right"/>
    </xf>
    <xf borderId="0" fillId="0" fontId="17" numFmtId="9" xfId="0" applyAlignment="1" applyFont="1" applyNumberFormat="1">
      <alignment horizontal="right"/>
    </xf>
    <xf borderId="14" fillId="0" fontId="15" numFmtId="9" xfId="0" applyBorder="1" applyFont="1" applyNumberFormat="1"/>
    <xf borderId="0" fillId="0" fontId="22" numFmtId="9" xfId="0" applyAlignment="1" applyFont="1" applyNumberFormat="1">
      <alignment horizontal="right"/>
    </xf>
    <xf borderId="0" fillId="0" fontId="14" numFmtId="3" xfId="0" applyAlignment="1" applyFont="1" applyNumberFormat="1">
      <alignment horizontal="left" readingOrder="0"/>
    </xf>
    <xf borderId="0" fillId="0" fontId="14" numFmtId="0" xfId="0" applyAlignment="1" applyFont="1">
      <alignment horizontal="left" readingOrder="0"/>
    </xf>
    <xf borderId="0" fillId="0" fontId="17" numFmtId="0" xfId="0" applyFont="1"/>
    <xf borderId="14" fillId="0" fontId="15" numFmtId="0" xfId="0" applyBorder="1" applyFont="1"/>
    <xf borderId="14" fillId="0" fontId="14" numFmtId="0" xfId="0" applyBorder="1" applyFont="1"/>
    <xf borderId="0" fillId="0" fontId="14" numFmtId="3" xfId="0" applyFont="1" applyNumberFormat="1"/>
    <xf borderId="0" fillId="0" fontId="22" numFmtId="0" xfId="0" applyFont="1"/>
    <xf borderId="0" fillId="0" fontId="14" numFmtId="0" xfId="0" applyAlignment="1" applyFont="1">
      <alignment horizontal="left" vertical="center"/>
    </xf>
    <xf borderId="0" fillId="0" fontId="17" numFmtId="0" xfId="0" applyAlignment="1" applyFont="1">
      <alignment vertical="center"/>
    </xf>
    <xf borderId="14" fillId="0" fontId="15" numFmtId="0" xfId="0" applyAlignment="1" applyBorder="1" applyFont="1">
      <alignment vertical="center"/>
    </xf>
    <xf borderId="0" fillId="0" fontId="22" numFmtId="0" xfId="0" applyAlignment="1" applyFont="1">
      <alignment vertical="center"/>
    </xf>
    <xf borderId="14" fillId="0" fontId="14" numFmtId="0" xfId="0" applyAlignment="1" applyBorder="1" applyFont="1">
      <alignment vertical="center"/>
    </xf>
    <xf borderId="0" fillId="0" fontId="17" numFmtId="0" xfId="0" applyAlignment="1" applyFont="1">
      <alignment vertical="bottom"/>
    </xf>
    <xf borderId="0" fillId="0" fontId="14" numFmtId="3" xfId="0" applyAlignment="1" applyFont="1" applyNumberFormat="1">
      <alignment readingOrder="0"/>
    </xf>
    <xf borderId="0" fillId="0" fontId="22" numFmtId="0" xfId="0" applyAlignment="1" applyFont="1">
      <alignment readingOrder="0"/>
    </xf>
    <xf borderId="14" fillId="0" fontId="14" numFmtId="0" xfId="0" applyAlignment="1" applyBorder="1" applyFont="1">
      <alignment readingOrder="0"/>
    </xf>
    <xf borderId="0" fillId="0" fontId="17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14" fillId="0" fontId="14" numFmtId="9" xfId="0" applyBorder="1" applyFont="1" applyNumberFormat="1"/>
    <xf borderId="0" fillId="0" fontId="17" numFmtId="9" xfId="0" applyAlignment="1" applyFont="1" applyNumberFormat="1">
      <alignment horizontal="right" readingOrder="0"/>
    </xf>
    <xf borderId="0" fillId="0" fontId="22" numFmtId="9" xfId="0" applyAlignment="1" applyFont="1" applyNumberFormat="1">
      <alignment horizontal="right" readingOrder="0"/>
    </xf>
    <xf borderId="14" fillId="0" fontId="14" numFmtId="9" xfId="0" applyAlignment="1" applyBorder="1" applyFont="1" applyNumberFormat="1">
      <alignment readingOrder="0"/>
    </xf>
    <xf borderId="0" fillId="0" fontId="14" numFmtId="3" xfId="0" applyFont="1" applyNumberFormat="1"/>
    <xf borderId="0" fillId="0" fontId="22" numFmtId="0" xfId="0" applyFont="1"/>
    <xf borderId="14" fillId="0" fontId="14" numFmtId="0" xfId="0" applyBorder="1" applyFont="1"/>
    <xf borderId="0" fillId="0" fontId="17" numFmtId="0" xfId="0" applyFont="1"/>
    <xf borderId="0" fillId="2" fontId="14" numFmtId="3" xfId="0" applyAlignment="1" applyFont="1" applyNumberFormat="1">
      <alignment horizontal="right" vertical="bottom"/>
    </xf>
    <xf borderId="0" fillId="2" fontId="17" numFmtId="9" xfId="0" applyAlignment="1" applyFont="1" applyNumberFormat="1">
      <alignment horizontal="right" vertical="bottom"/>
    </xf>
    <xf borderId="14" fillId="2" fontId="23" numFmtId="9" xfId="0" applyAlignment="1" applyBorder="1" applyFont="1" applyNumberFormat="1">
      <alignment vertical="bottom"/>
    </xf>
    <xf borderId="0" fillId="2" fontId="23" numFmtId="3" xfId="0" applyAlignment="1" applyFont="1" applyNumberFormat="1">
      <alignment vertical="bottom"/>
    </xf>
    <xf borderId="0" fillId="2" fontId="24" numFmtId="9" xfId="0" applyAlignment="1" applyFont="1" applyNumberFormat="1">
      <alignment vertical="bottom"/>
    </xf>
    <xf borderId="0" fillId="2" fontId="24" numFmtId="0" xfId="0" applyAlignment="1" applyFont="1">
      <alignment vertical="bottom"/>
    </xf>
    <xf borderId="14" fillId="2" fontId="23" numFmtId="0" xfId="0" applyAlignment="1" applyBorder="1" applyFont="1">
      <alignment vertical="bottom"/>
    </xf>
    <xf borderId="14" fillId="0" fontId="25" numFmtId="0" xfId="0" applyBorder="1" applyFont="1"/>
    <xf borderId="0" fillId="0" fontId="22" numFmtId="0" xfId="0" applyAlignment="1" applyFont="1">
      <alignment horizontal="right" readingOrder="0"/>
    </xf>
    <xf borderId="0" fillId="0" fontId="17" numFmtId="0" xfId="0" applyAlignment="1" applyFont="1">
      <alignment horizontal="right" readingOrder="0"/>
    </xf>
    <xf borderId="0" fillId="0" fontId="23" numFmtId="3" xfId="0" applyAlignment="1" applyFont="1" applyNumberFormat="1">
      <alignment vertical="bottom"/>
    </xf>
    <xf borderId="0" fillId="0" fontId="24" numFmtId="0" xfId="0" applyAlignment="1" applyFont="1">
      <alignment vertical="bottom"/>
    </xf>
    <xf borderId="14" fillId="0" fontId="23" numFmtId="0" xfId="0" applyAlignment="1" applyBorder="1" applyFont="1">
      <alignment vertical="bottom"/>
    </xf>
    <xf borderId="0" fillId="0" fontId="16" numFmtId="167" xfId="0" applyFont="1" applyNumberFormat="1"/>
    <xf borderId="0" fillId="0" fontId="15" numFmtId="167" xfId="0" applyFont="1" applyNumberFormat="1"/>
    <xf borderId="0" fillId="0" fontId="19" numFmtId="0" xfId="0" applyAlignment="1" applyFont="1">
      <alignment horizontal="center" readingOrder="0" vertical="center"/>
    </xf>
    <xf borderId="17" fillId="0" fontId="20" numFmtId="0" xfId="0" applyBorder="1" applyFont="1"/>
    <xf borderId="0" fillId="0" fontId="18" numFmtId="0" xfId="0" applyAlignment="1" applyFont="1">
      <alignment horizontal="left" vertical="center"/>
    </xf>
    <xf borderId="0" fillId="0" fontId="17" numFmtId="0" xfId="0" applyAlignment="1" applyFont="1">
      <alignment horizontal="right" readingOrder="0" shrinkToFit="0" wrapText="1"/>
    </xf>
    <xf borderId="0" fillId="0" fontId="22" numFmtId="0" xfId="0" applyAlignment="1" applyFont="1">
      <alignment horizontal="right" shrinkToFit="0" vertical="bottom" wrapText="1"/>
    </xf>
    <xf borderId="0" fillId="0" fontId="14" numFmtId="3" xfId="0" applyAlignment="1" applyFont="1" applyNumberFormat="1">
      <alignment readingOrder="0"/>
    </xf>
    <xf borderId="17" fillId="0" fontId="15" numFmtId="0" xfId="0" applyAlignment="1" applyBorder="1" applyFont="1">
      <alignment readingOrder="0"/>
    </xf>
    <xf borderId="0" fillId="0" fontId="22" numFmtId="167" xfId="0" applyAlignment="1" applyFont="1" applyNumberFormat="1">
      <alignment horizontal="right" readingOrder="0"/>
    </xf>
    <xf borderId="17" fillId="0" fontId="14" numFmtId="0" xfId="0" applyAlignment="1" applyBorder="1" applyFont="1">
      <alignment readingOrder="0"/>
    </xf>
    <xf borderId="0" fillId="0" fontId="17" numFmtId="167" xfId="0" applyAlignment="1" applyFont="1" applyNumberFormat="1">
      <alignment horizontal="right" readingOrder="0"/>
    </xf>
    <xf borderId="0" fillId="0" fontId="14" numFmtId="0" xfId="0" applyAlignment="1" applyFont="1">
      <alignment readingOrder="0"/>
    </xf>
    <xf borderId="0" fillId="0" fontId="14" numFmtId="167" xfId="0" applyAlignment="1" applyFont="1" applyNumberFormat="1">
      <alignment readingOrder="0"/>
    </xf>
    <xf borderId="0" fillId="0" fontId="24" numFmtId="167" xfId="0" applyAlignment="1" applyFont="1" applyNumberFormat="1">
      <alignment vertical="bottom"/>
    </xf>
    <xf borderId="0" fillId="0" fontId="23" numFmtId="0" xfId="0" applyAlignment="1" applyFont="1">
      <alignment vertical="bottom"/>
    </xf>
    <xf borderId="0" fillId="0" fontId="23" numFmtId="167" xfId="0" applyAlignment="1" applyFont="1" applyNumberFormat="1">
      <alignment vertical="bottom"/>
    </xf>
    <xf borderId="17" fillId="0" fontId="23" numFmtId="0" xfId="0" applyAlignment="1" applyBorder="1" applyFont="1">
      <alignment vertical="bottom"/>
    </xf>
    <xf borderId="0" fillId="0" fontId="22" numFmtId="0" xfId="0" applyFont="1"/>
    <xf borderId="17" fillId="0" fontId="15" numFmtId="0" xfId="0" applyBorder="1" applyFont="1"/>
    <xf borderId="0" fillId="0" fontId="14" numFmtId="0" xfId="0" applyAlignment="1" applyFont="1">
      <alignment readingOrder="0" vertical="bottom"/>
    </xf>
    <xf borderId="0" fillId="0" fontId="17" numFmtId="4" xfId="0" applyFont="1" applyNumberFormat="1"/>
    <xf borderId="0" fillId="0" fontId="14" numFmtId="0" xfId="0" applyFont="1"/>
    <xf borderId="17" fillId="0" fontId="15" numFmtId="4" xfId="0" applyBorder="1" applyFont="1" applyNumberFormat="1"/>
    <xf borderId="0" fillId="0" fontId="17" numFmtId="167" xfId="0" applyFont="1" applyNumberFormat="1"/>
    <xf borderId="17" fillId="0" fontId="14" numFmtId="0" xfId="0" applyBorder="1" applyFont="1"/>
    <xf borderId="0" fillId="0" fontId="14" numFmtId="0" xfId="0" applyAlignment="1" applyFont="1">
      <alignment vertical="bottom"/>
    </xf>
    <xf borderId="0" fillId="0" fontId="1" numFmtId="0" xfId="0" applyFont="1"/>
    <xf borderId="0" fillId="0" fontId="26" numFmtId="0" xfId="0" applyAlignment="1" applyFont="1">
      <alignment readingOrder="0" vertical="center"/>
    </xf>
    <xf borderId="0" fillId="0" fontId="1" numFmtId="0" xfId="0" applyAlignment="1" applyFont="1">
      <alignment readingOrder="0"/>
    </xf>
    <xf borderId="0" fillId="0" fontId="27" numFmtId="0" xfId="0" applyAlignment="1" applyFont="1">
      <alignment horizontal="center" readingOrder="0"/>
    </xf>
    <xf borderId="18" fillId="0" fontId="27" numFmtId="0" xfId="0" applyAlignment="1" applyBorder="1" applyFont="1">
      <alignment horizontal="center" readingOrder="0"/>
    </xf>
    <xf borderId="19" fillId="0" fontId="20" numFmtId="0" xfId="0" applyBorder="1" applyFont="1"/>
    <xf borderId="0" fillId="0" fontId="28" numFmtId="0" xfId="0" applyAlignment="1" applyFont="1">
      <alignment readingOrder="0"/>
    </xf>
    <xf borderId="18" fillId="0" fontId="22" numFmtId="0" xfId="0" applyAlignment="1" applyBorder="1" applyFont="1">
      <alignment horizontal="right" readingOrder="0" shrinkToFit="0" wrapText="1"/>
    </xf>
    <xf borderId="0" fillId="0" fontId="22" numFmtId="0" xfId="0" applyAlignment="1" applyFont="1">
      <alignment horizontal="right" readingOrder="0" shrinkToFit="0" wrapText="1"/>
    </xf>
    <xf borderId="18" fillId="0" fontId="20" numFmtId="0" xfId="0" applyBorder="1" applyFont="1"/>
    <xf borderId="20" fillId="0" fontId="1" numFmtId="0" xfId="0" applyAlignment="1" applyBorder="1" applyFont="1">
      <alignment readingOrder="0"/>
    </xf>
    <xf borderId="21" fillId="0" fontId="1" numFmtId="0" xfId="0" applyAlignment="1" applyBorder="1" applyFont="1">
      <alignment readingOrder="0"/>
    </xf>
    <xf borderId="22" fillId="0" fontId="1" numFmtId="0" xfId="0" applyAlignment="1" applyBorder="1" applyFont="1">
      <alignment horizontal="right" readingOrder="0"/>
    </xf>
    <xf borderId="19" fillId="0" fontId="29" numFmtId="0" xfId="0" applyBorder="1" applyFont="1"/>
    <xf borderId="21" fillId="0" fontId="1" numFmtId="0" xfId="0" applyAlignment="1" applyBorder="1" applyFont="1">
      <alignment horizontal="right" readingOrder="0"/>
    </xf>
    <xf borderId="23" fillId="0" fontId="1" numFmtId="0" xfId="0" applyAlignment="1" applyBorder="1" applyFont="1">
      <alignment horizontal="right" readingOrder="0"/>
    </xf>
    <xf borderId="24" fillId="0" fontId="1" numFmtId="0" xfId="0" applyAlignment="1" applyBorder="1" applyFont="1">
      <alignment horizontal="right" readingOrder="0"/>
    </xf>
    <xf borderId="0" fillId="0" fontId="1" numFmtId="0" xfId="0" applyAlignment="1" applyFont="1">
      <alignment horizontal="right" readingOrder="0"/>
    </xf>
    <xf borderId="25" fillId="2" fontId="22" numFmtId="0" xfId="0" applyAlignment="1" applyBorder="1" applyFont="1">
      <alignment readingOrder="0"/>
    </xf>
    <xf borderId="0" fillId="2" fontId="1" numFmtId="0" xfId="0" applyFont="1"/>
    <xf borderId="26" fillId="2" fontId="1" numFmtId="3" xfId="0" applyAlignment="1" applyBorder="1" applyFont="1" applyNumberFormat="1">
      <alignment readingOrder="0"/>
    </xf>
    <xf borderId="19" fillId="2" fontId="30" numFmtId="0" xfId="0" applyAlignment="1" applyBorder="1" applyFont="1">
      <alignment horizontal="right" vertical="bottom"/>
    </xf>
    <xf borderId="0" fillId="2" fontId="1" numFmtId="10" xfId="0" applyAlignment="1" applyFont="1" applyNumberFormat="1">
      <alignment readingOrder="0"/>
    </xf>
    <xf borderId="0" fillId="2" fontId="30" numFmtId="0" xfId="0" applyAlignment="1" applyFont="1">
      <alignment horizontal="right" vertical="bottom"/>
    </xf>
    <xf borderId="27" fillId="2" fontId="1" numFmtId="3" xfId="0" applyAlignment="1" applyBorder="1" applyFont="1" applyNumberFormat="1">
      <alignment horizontal="right" vertical="bottom"/>
    </xf>
    <xf borderId="26" fillId="2" fontId="1" numFmtId="3" xfId="0" applyAlignment="1" applyBorder="1" applyFont="1" applyNumberFormat="1">
      <alignment horizontal="right" vertical="bottom"/>
    </xf>
    <xf borderId="28" fillId="2" fontId="1" numFmtId="3" xfId="0" applyAlignment="1" applyBorder="1" applyFont="1" applyNumberFormat="1">
      <alignment horizontal="right" vertical="bottom"/>
    </xf>
    <xf borderId="0" fillId="2" fontId="31" numFmtId="0" xfId="0" applyAlignment="1" applyFont="1">
      <alignment horizontal="left"/>
    </xf>
    <xf borderId="25" fillId="2" fontId="32" numFmtId="0" xfId="0" applyAlignment="1" applyBorder="1" applyFont="1">
      <alignment shrinkToFit="0" wrapText="0"/>
    </xf>
    <xf borderId="0" fillId="2" fontId="33" numFmtId="0" xfId="0" applyAlignment="1" applyFont="1">
      <alignment shrinkToFit="0" wrapText="0"/>
    </xf>
    <xf borderId="0" fillId="2" fontId="4" numFmtId="0" xfId="0" applyAlignment="1" applyFont="1">
      <alignment shrinkToFit="0" wrapText="0"/>
    </xf>
    <xf borderId="25" fillId="2" fontId="34" numFmtId="0" xfId="0" applyAlignment="1" applyBorder="1" applyFont="1">
      <alignment shrinkToFit="0" wrapText="0"/>
    </xf>
    <xf borderId="25" fillId="2" fontId="35" numFmtId="0" xfId="0" applyAlignment="1" applyBorder="1" applyFont="1">
      <alignment shrinkToFit="0" wrapText="0"/>
    </xf>
    <xf borderId="25" fillId="2" fontId="36" numFmtId="0" xfId="0" applyAlignment="1" applyBorder="1" applyFont="1">
      <alignment shrinkToFit="0" wrapText="0"/>
    </xf>
    <xf borderId="29" fillId="2" fontId="22" numFmtId="0" xfId="0" applyAlignment="1" applyBorder="1" applyFont="1">
      <alignment readingOrder="0"/>
    </xf>
    <xf borderId="27" fillId="0" fontId="22" numFmtId="0" xfId="0" applyBorder="1" applyFont="1"/>
    <xf borderId="27" fillId="2" fontId="1" numFmtId="0" xfId="0" applyBorder="1" applyFont="1"/>
  </cellXfs>
  <cellStyles count="1">
    <cellStyle xfId="0" name="Normal" builtinId="0"/>
  </cellStyles>
  <dxfs count="13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4A568D"/>
          <bgColor rgb="FF4A568D"/>
        </patternFill>
      </fill>
      <border/>
    </dxf>
    <dxf>
      <font>
        <color rgb="FFCC0000"/>
      </font>
      <fill>
        <patternFill patternType="none"/>
      </fill>
      <border/>
    </dxf>
    <dxf>
      <font>
        <color rgb="FF6AA84F"/>
      </font>
      <fill>
        <patternFill patternType="none"/>
      </fill>
      <border/>
    </dxf>
    <dxf>
      <font>
        <b/>
        <color rgb="FFCC0000"/>
      </font>
      <fill>
        <patternFill patternType="none"/>
      </fill>
      <border/>
    </dxf>
    <dxf>
      <font>
        <b/>
        <color rgb="FF3C78D8"/>
      </font>
      <fill>
        <patternFill patternType="none"/>
      </fill>
      <border/>
    </dxf>
    <dxf>
      <font>
        <i/>
        <color rgb="FFCCCCCC"/>
      </font>
      <fill>
        <patternFill patternType="none"/>
      </fill>
      <border/>
    </dxf>
    <dxf>
      <font>
        <color rgb="FFA61C00"/>
      </font>
      <fill>
        <patternFill patternType="none"/>
      </fill>
      <border/>
    </dxf>
    <dxf>
      <font>
        <color rgb="FFB45F06"/>
      </font>
      <fill>
        <patternFill patternType="none"/>
      </fill>
      <border/>
    </dxf>
    <dxf>
      <font>
        <color rgb="FF38761D"/>
      </font>
      <fill>
        <patternFill patternType="none"/>
      </fill>
      <border/>
    </dxf>
    <dxf>
      <font>
        <color rgb="FF741B47"/>
      </font>
      <fill>
        <patternFill patternType="none"/>
      </fill>
      <border/>
    </dxf>
  </dxfs>
  <tableStyles count="26">
    <tableStyle count="3" pivot="0" name="Январь_2025-style">
      <tableStyleElement dxfId="1" type="headerRow"/>
      <tableStyleElement dxfId="2" type="firstRowStripe"/>
      <tableStyleElement dxfId="2" type="secondRowStripe"/>
    </tableStyle>
    <tableStyle count="2" pivot="0" name="Январь_2025-style 2">
      <tableStyleElement dxfId="2" type="firstRowStripe"/>
      <tableStyleElement dxfId="2" type="secondRowStripe"/>
    </tableStyle>
    <tableStyle count="3" pivot="0" name="Январь_2025-style 3">
      <tableStyleElement dxfId="3" type="headerRow"/>
      <tableStyleElement dxfId="2" type="firstRowStripe"/>
      <tableStyleElement dxfId="2" type="secondRowStripe"/>
    </tableStyle>
    <tableStyle count="3" pivot="0" name="Февраль_2025-style">
      <tableStyleElement dxfId="1" type="headerRow"/>
      <tableStyleElement dxfId="2" type="firstRowStripe"/>
      <tableStyleElement dxfId="2" type="secondRowStripe"/>
    </tableStyle>
    <tableStyle count="2" pivot="0" name="Февраль_2025-style 2">
      <tableStyleElement dxfId="2" type="firstRowStripe"/>
      <tableStyleElement dxfId="2" type="secondRowStripe"/>
    </tableStyle>
    <tableStyle count="3" pivot="0" name="Февраль_2025-style 3">
      <tableStyleElement dxfId="3" type="headerRow"/>
      <tableStyleElement dxfId="2" type="firstRowStripe"/>
      <tableStyleElement dxfId="2" type="secondRowStripe"/>
    </tableStyle>
    <tableStyle count="3" pivot="0" name="Март_2025-style">
      <tableStyleElement dxfId="1" type="headerRow"/>
      <tableStyleElement dxfId="2" type="firstRowStripe"/>
      <tableStyleElement dxfId="2" type="secondRowStripe"/>
    </tableStyle>
    <tableStyle count="2" pivot="0" name="Март_2025-style 2">
      <tableStyleElement dxfId="2" type="firstRowStripe"/>
      <tableStyleElement dxfId="2" type="secondRowStripe"/>
    </tableStyle>
    <tableStyle count="3" pivot="0" name="Март_2025-style 3">
      <tableStyleElement dxfId="3" type="headerRow"/>
      <tableStyleElement dxfId="2" type="firstRowStripe"/>
      <tableStyleElement dxfId="2" type="secondRowStripe"/>
    </tableStyle>
    <tableStyle count="3" pivot="0" name="Апрель_2025-style">
      <tableStyleElement dxfId="1" type="headerRow"/>
      <tableStyleElement dxfId="2" type="firstRowStripe"/>
      <tableStyleElement dxfId="2" type="secondRowStripe"/>
    </tableStyle>
    <tableStyle count="2" pivot="0" name="Апрель_2025-style 2">
      <tableStyleElement dxfId="2" type="firstRowStripe"/>
      <tableStyleElement dxfId="2" type="secondRowStripe"/>
    </tableStyle>
    <tableStyle count="3" pivot="0" name="Апрель_2025-style 3">
      <tableStyleElement dxfId="3" type="headerRow"/>
      <tableStyleElement dxfId="2" type="firstRowStripe"/>
      <tableStyleElement dxfId="2" type="secondRowStripe"/>
    </tableStyle>
    <tableStyle count="3" pivot="0" name="Май_2025-style">
      <tableStyleElement dxfId="1" type="headerRow"/>
      <tableStyleElement dxfId="2" type="firstRowStripe"/>
      <tableStyleElement dxfId="2" type="secondRowStripe"/>
    </tableStyle>
    <tableStyle count="2" pivot="0" name="Май_2025-style 2">
      <tableStyleElement dxfId="2" type="firstRowStripe"/>
      <tableStyleElement dxfId="2" type="secondRowStripe"/>
    </tableStyle>
    <tableStyle count="3" pivot="0" name="Май_2025-style 3">
      <tableStyleElement dxfId="3" type="headerRow"/>
      <tableStyleElement dxfId="2" type="firstRowStripe"/>
      <tableStyleElement dxfId="2" type="secondRowStripe"/>
    </tableStyle>
    <tableStyle count="3" pivot="0" name="Июнь_2025-style">
      <tableStyleElement dxfId="1" type="headerRow"/>
      <tableStyleElement dxfId="2" type="firstRowStripe"/>
      <tableStyleElement dxfId="2" type="secondRowStripe"/>
    </tableStyle>
    <tableStyle count="2" pivot="0" name="Июнь_2025-style 2">
      <tableStyleElement dxfId="2" type="firstRowStripe"/>
      <tableStyleElement dxfId="2" type="secondRowStripe"/>
    </tableStyle>
    <tableStyle count="3" pivot="0" name="Июнь_2025-style 3">
      <tableStyleElement dxfId="3" type="headerRow"/>
      <tableStyleElement dxfId="2" type="firstRowStripe"/>
      <tableStyleElement dxfId="2" type="secondRowStripe"/>
    </tableStyle>
    <tableStyle count="2" pivot="0" name="ОсновныеМетрики-style">
      <tableStyleElement dxfId="2" type="firstRowStripe"/>
      <tableStyleElement dxfId="2" type="secondRowStripe"/>
    </tableStyle>
    <tableStyle count="2" pivot="0" name="ОсновныеМетрики-style 2">
      <tableStyleElement dxfId="2" type="firstRowStripe"/>
      <tableStyleElement dxfId="2" type="secondRowStripe"/>
    </tableStyle>
    <tableStyle count="2" pivot="0" name="ОсновныеМетрики-style 3">
      <tableStyleElement dxfId="2" type="firstRowStripe"/>
      <tableStyleElement dxfId="2" type="secondRowStripe"/>
    </tableStyle>
    <tableStyle count="2" pivot="0" name="ОсновныеМетрики-style 4">
      <tableStyleElement dxfId="2" type="firstRowStripe"/>
      <tableStyleElement dxfId="2" type="secondRowStripe"/>
    </tableStyle>
    <tableStyle count="2" pivot="0" name="ОсновныеМетрики-style 5">
      <tableStyleElement dxfId="2" type="firstRowStripe"/>
      <tableStyleElement dxfId="2" type="secondRowStripe"/>
    </tableStyle>
    <tableStyle count="2" pivot="0" name="ОсновныеМетрики-style 6">
      <tableStyleElement dxfId="2" type="firstRowStripe"/>
      <tableStyleElement dxfId="2" type="secondRowStripe"/>
    </tableStyle>
    <tableStyle count="2" pivot="0" name="AOV_Revenue-style">
      <tableStyleElement dxfId="2" type="firstRowStripe"/>
      <tableStyleElement dxfId="2" type="secondRowStripe"/>
    </tableStyle>
    <tableStyle count="2" pivot="0" name="ДЗ-style"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80" displayName="Январь_2025" name="Январь_2025" id="1">
  <tableColumns count="9">
    <tableColumn name="Филиал ТЦ" id="1"/>
    <tableColumn name="ID арендатора" id="2"/>
    <tableColumn name="Магазин" id="3"/>
    <tableColumn name="Категория" id="4"/>
    <tableColumn name="Номер помещения" id="5"/>
    <tableColumn name="Площадь (м²)" id="6"/>
    <tableColumn name="Продажи/мес" id="7"/>
    <tableColumn name="Выручка (руб/мес)" id="8"/>
    <tableColumn name="Долг по аренде (руб)" id="9"/>
  </tableColumns>
  <tableStyleInfo name="Январь_2025-style" showColumnStripes="0" showFirstColumn="1" showLastColumn="1" showRowStripes="1"/>
</table>
</file>

<file path=xl/tables/table10.xml><?xml version="1.0" encoding="utf-8"?>
<table xmlns="http://schemas.openxmlformats.org/spreadsheetml/2006/main" ref="A1:I80" displayName="Апрель_2025" name="Апрель_2025" id="10">
  <tableColumns count="9">
    <tableColumn name="Филиал ТЦ" id="1"/>
    <tableColumn name="ID арендатора" id="2"/>
    <tableColumn name="Столбец 3" id="3"/>
    <tableColumn name="Категория" id="4"/>
    <tableColumn name="Номер помещения" id="5"/>
    <tableColumn name="Площадь (м²)" id="6"/>
    <tableColumn name="Продажи/мес" id="7"/>
    <tableColumn name="Выручка (руб/мес)" id="8"/>
    <tableColumn name="Долг по аренде (руб)" id="9"/>
  </tableColumns>
  <tableStyleInfo name="Апрель_2025-style" showColumnStripes="0" showFirstColumn="1" showLastColumn="1" showRowStripes="1"/>
</table>
</file>

<file path=xl/tables/table11.xml><?xml version="1.0" encoding="utf-8"?>
<table xmlns="http://schemas.openxmlformats.org/spreadsheetml/2006/main" headerRowCount="0" ref="A81:M83" displayName="Table_4" name="Table_4" id="1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Апрель_2025-style 2" showColumnStripes="0" showFirstColumn="1" showLastColumn="1" showRowStripes="1"/>
</table>
</file>

<file path=xl/tables/table12.xml><?xml version="1.0" encoding="utf-8"?>
<table xmlns="http://schemas.openxmlformats.org/spreadsheetml/2006/main" ref="A90:I94" displayName="Апрель_2025_свод" name="Апрель_2025_свод" id="12">
  <tableColumns count="9">
    <tableColumn name="Филиал ТЦ" id="1"/>
    <tableColumn name="Общая площадь (м²)" id="2"/>
    <tableColumn name="Арендуемая площадь (м²)" id="3"/>
    <tableColumn name="Помещений всего, шт" id="4"/>
    <tableColumn name="Магазинов, шт" id="5"/>
    <tableColumn name="Всего продаж (мес)" id="6"/>
    <tableColumn name="Общая вручка (руб/мес)" id="7"/>
    <tableColumn name="Общий долг по аренде (руб)" id="8"/>
    <tableColumn name="Удельная выручка (руб/мес)" id="9"/>
  </tableColumns>
  <tableStyleInfo name="Апрель_2025-style 3" showColumnStripes="0" showFirstColumn="1" showLastColumn="1" showRowStripes="1"/>
</table>
</file>

<file path=xl/tables/table13.xml><?xml version="1.0" encoding="utf-8"?>
<table xmlns="http://schemas.openxmlformats.org/spreadsheetml/2006/main" ref="A1:I80" displayName="Май_2025" name="Май_2025" id="13">
  <tableColumns count="9">
    <tableColumn name="Филиал ТЦ" id="1"/>
    <tableColumn name="ID арендатора" id="2"/>
    <tableColumn name="Столбец 3" id="3"/>
    <tableColumn name="Категория" id="4"/>
    <tableColumn name="Номер помещения" id="5"/>
    <tableColumn name="Площадь (м²)" id="6"/>
    <tableColumn name="Продажи/мес" id="7"/>
    <tableColumn name="Выручка (руб/мес)" id="8"/>
    <tableColumn name="Долг по аренде (руб)" id="9"/>
  </tableColumns>
  <tableStyleInfo name="Май_2025-style" showColumnStripes="0" showFirstColumn="1" showLastColumn="1" showRowStripes="1"/>
</table>
</file>

<file path=xl/tables/table14.xml><?xml version="1.0" encoding="utf-8"?>
<table xmlns="http://schemas.openxmlformats.org/spreadsheetml/2006/main" headerRowCount="0" ref="A81:M83" displayName="Table_5" name="Table_5" id="14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Май_2025-style 2" showColumnStripes="0" showFirstColumn="1" showLastColumn="1" showRowStripes="1"/>
</table>
</file>

<file path=xl/tables/table15.xml><?xml version="1.0" encoding="utf-8"?>
<table xmlns="http://schemas.openxmlformats.org/spreadsheetml/2006/main" ref="A90:I94" displayName="Май_2025_свод" name="Май_2025_свод" id="15">
  <tableColumns count="9">
    <tableColumn name="Филиал ТЦ" id="1"/>
    <tableColumn name="Общая площадь (м²)" id="2"/>
    <tableColumn name="Арендуемая площадь (м²)" id="3"/>
    <tableColumn name="Помещений всего, шт" id="4"/>
    <tableColumn name="Магазинов, шт" id="5"/>
    <tableColumn name="Всего продаж (мес)" id="6"/>
    <tableColumn name="Общая вручка (руб/мес)" id="7"/>
    <tableColumn name="Общий долг по аренде (руб)" id="8"/>
    <tableColumn name="Удельная выручка (руб/мес)" id="9"/>
  </tableColumns>
  <tableStyleInfo name="Май_2025-style 3" showColumnStripes="0" showFirstColumn="1" showLastColumn="1" showRowStripes="1"/>
</table>
</file>

<file path=xl/tables/table16.xml><?xml version="1.0" encoding="utf-8"?>
<table xmlns="http://schemas.openxmlformats.org/spreadsheetml/2006/main" ref="A1:I80" displayName="Июнь_2025" name="Июнь_2025" id="16">
  <tableColumns count="9">
    <tableColumn name="Филиал ТЦ" id="1"/>
    <tableColumn name="ID арендатора" id="2"/>
    <tableColumn name="Столбец 3" id="3"/>
    <tableColumn name="Категория" id="4"/>
    <tableColumn name="Номер помещения" id="5"/>
    <tableColumn name="Площадь (м²)" id="6"/>
    <tableColumn name="Продажи/мес" id="7"/>
    <tableColumn name="Выручка (руб/мес)" id="8"/>
    <tableColumn name="Долг по аренде (руб)" id="9"/>
  </tableColumns>
  <tableStyleInfo name="Июнь_2025-style" showColumnStripes="0" showFirstColumn="1" showLastColumn="1" showRowStripes="1"/>
</table>
</file>

<file path=xl/tables/table17.xml><?xml version="1.0" encoding="utf-8"?>
<table xmlns="http://schemas.openxmlformats.org/spreadsheetml/2006/main" headerRowCount="0" ref="A81:M83" displayName="Table_6" name="Table_6" id="17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Июнь_2025-style 2" showColumnStripes="0" showFirstColumn="1" showLastColumn="1" showRowStripes="1"/>
</table>
</file>

<file path=xl/tables/table18.xml><?xml version="1.0" encoding="utf-8"?>
<table xmlns="http://schemas.openxmlformats.org/spreadsheetml/2006/main" ref="A90:I94" displayName="Июнь_2025_свод" name="Июнь_2025_свод" id="18">
  <tableColumns count="9">
    <tableColumn name="Филиал ТЦ" id="1"/>
    <tableColumn name="Общая площадь (м²)" id="2"/>
    <tableColumn name="Арендуемая площадь (м²)" id="3"/>
    <tableColumn name="Помещений всего, шт" id="4"/>
    <tableColumn name="Магазинов, шт" id="5"/>
    <tableColumn name="Всего продаж (мес)" id="6"/>
    <tableColumn name="Общая вручка (руб/мес)" id="7"/>
    <tableColumn name="Общий долг по аренде (руб)" id="8"/>
    <tableColumn name="Удельная выручка (руб/мес)" id="9"/>
  </tableColumns>
  <tableStyleInfo name="Июнь_2025-style 3" showColumnStripes="0" showFirstColumn="1" showLastColumn="1" showRowStripes="1"/>
</table>
</file>

<file path=xl/tables/table19.xml><?xml version="1.0" encoding="utf-8"?>
<table xmlns="http://schemas.openxmlformats.org/spreadsheetml/2006/main" headerRowCount="0" ref="A8:B10" displayName="Table_7" name="Table_7" id="19">
  <tableColumns count="2">
    <tableColumn name="Column1" id="1"/>
    <tableColumn name="Column2" id="2"/>
  </tableColumns>
  <tableStyleInfo name="ОсновныеМетрики-style" showColumnStripes="0" showFirstColumn="1" showLastColumn="1" showRowStripes="1"/>
</table>
</file>

<file path=xl/tables/table2.xml><?xml version="1.0" encoding="utf-8"?>
<table xmlns="http://schemas.openxmlformats.org/spreadsheetml/2006/main" headerRowCount="0" ref="A81:M83" displayName="Table_1" name="Table_1" id="2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Январь_2025-style 2" showColumnStripes="0" showFirstColumn="1" showLastColumn="1" showRowStripes="1"/>
</table>
</file>

<file path=xl/tables/table20.xml><?xml version="1.0" encoding="utf-8"?>
<table xmlns="http://schemas.openxmlformats.org/spreadsheetml/2006/main" headerRowCount="0" ref="R8:R10" displayName="Table_8" name="Table_8" id="20">
  <tableColumns count="1">
    <tableColumn name="Column1" id="1"/>
  </tableColumns>
  <tableStyleInfo name="ОсновныеМетрики-style 2" showColumnStripes="0" showFirstColumn="1" showLastColumn="1" showRowStripes="1"/>
</table>
</file>

<file path=xl/tables/table21.xml><?xml version="1.0" encoding="utf-8"?>
<table xmlns="http://schemas.openxmlformats.org/spreadsheetml/2006/main" headerRowCount="0" ref="V8:V10" displayName="Table_9" name="Table_9" id="21">
  <tableColumns count="1">
    <tableColumn name="Column1" id="1"/>
  </tableColumns>
  <tableStyleInfo name="ОсновныеМетрики-style 3" showColumnStripes="0" showFirstColumn="1" showLastColumn="1" showRowStripes="1"/>
</table>
</file>

<file path=xl/tables/table22.xml><?xml version="1.0" encoding="utf-8"?>
<table xmlns="http://schemas.openxmlformats.org/spreadsheetml/2006/main" headerRowCount="0" ref="Z8:Z10" displayName="Table_10" name="Table_10" id="22">
  <tableColumns count="1">
    <tableColumn name="Column1" id="1"/>
  </tableColumns>
  <tableStyleInfo name="ОсновныеМетрики-style 4" showColumnStripes="0" showFirstColumn="1" showLastColumn="1" showRowStripes="1"/>
</table>
</file>

<file path=xl/tables/table23.xml><?xml version="1.0" encoding="utf-8"?>
<table xmlns="http://schemas.openxmlformats.org/spreadsheetml/2006/main" headerRowCount="0" ref="A16:C45" displayName="Table_11" name="Table_11" id="23">
  <tableColumns count="3">
    <tableColumn name="Column1" id="1"/>
    <tableColumn name="Column2" id="2"/>
    <tableColumn name="Column3" id="3"/>
  </tableColumns>
  <tableStyleInfo name="ОсновныеМетрики-style 5" showColumnStripes="0" showFirstColumn="1" showLastColumn="1" showRowStripes="1"/>
</table>
</file>

<file path=xl/tables/table24.xml><?xml version="1.0" encoding="utf-8"?>
<table xmlns="http://schemas.openxmlformats.org/spreadsheetml/2006/main" headerRowCount="0" ref="G16:Z47" displayName="Table_12" name="Table_12" id="24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ОсновныеМетрики-style 6" showColumnStripes="0" showFirstColumn="1" showLastColumn="1" showRowStripes="1"/>
</table>
</file>

<file path=xl/tables/table25.xml><?xml version="1.0" encoding="utf-8"?>
<table xmlns="http://schemas.openxmlformats.org/spreadsheetml/2006/main" headerRowCount="0" ref="J5:AR71" displayName="Table_13" name="Table_13" id="25">
  <tableColumns count="3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</tableColumns>
  <tableStyleInfo name="AOV_Revenue-style" showColumnStripes="0" showFirstColumn="1" showLastColumn="1" showRowStripes="1"/>
</table>
</file>

<file path=xl/tables/table26.xml><?xml version="1.0" encoding="utf-8"?>
<table xmlns="http://schemas.openxmlformats.org/spreadsheetml/2006/main" headerRowCount="0" ref="A85:V87" displayName="Table_14" name="Table_14" id="26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ДЗ-style" showColumnStripes="0" showFirstColumn="1" showLastColumn="1" showRowStripes="1"/>
</table>
</file>

<file path=xl/tables/table3.xml><?xml version="1.0" encoding="utf-8"?>
<table xmlns="http://schemas.openxmlformats.org/spreadsheetml/2006/main" ref="A90:I94" displayName="Январь_2025_свод" name="Январь_2025_свод" id="3">
  <tableColumns count="9">
    <tableColumn name="Филиал ТЦ" id="1"/>
    <tableColumn name="Общая площадь (м²)" id="2"/>
    <tableColumn name="Арендуемая площадь (м²)" id="3"/>
    <tableColumn name="Помещений всего, шт" id="4"/>
    <tableColumn name="Магазинов, шт" id="5"/>
    <tableColumn name="Всего продаж (мес)" id="6"/>
    <tableColumn name="Общая вручка (руб/мес)" id="7"/>
    <tableColumn name="Общий долг по аренде (руб)" id="8"/>
    <tableColumn name="Удельная выручка (руб/мес)" id="9"/>
  </tableColumns>
  <tableStyleInfo name="Январь_2025-style 3" showColumnStripes="0" showFirstColumn="1" showLastColumn="1" showRowStripes="1"/>
</table>
</file>

<file path=xl/tables/table4.xml><?xml version="1.0" encoding="utf-8"?>
<table xmlns="http://schemas.openxmlformats.org/spreadsheetml/2006/main" ref="A1:I80" displayName="Февраль_2025" name="Февраль_2025" id="4">
  <tableColumns count="9">
    <tableColumn name="Филиал ТЦ" id="1"/>
    <tableColumn name="ID арендатора" id="2"/>
    <tableColumn name="Столбец 3" id="3"/>
    <tableColumn name="Категория" id="4"/>
    <tableColumn name="Номер помещения" id="5"/>
    <tableColumn name="Площадь (м²)" id="6"/>
    <tableColumn name="Продажи/мес" id="7"/>
    <tableColumn name="Выручка (руб/мес)" id="8"/>
    <tableColumn name="Долг по аренде (руб)" id="9"/>
  </tableColumns>
  <tableStyleInfo name="Февраль_2025-style" showColumnStripes="0" showFirstColumn="1" showLastColumn="1" showRowStripes="1"/>
</table>
</file>

<file path=xl/tables/table5.xml><?xml version="1.0" encoding="utf-8"?>
<table xmlns="http://schemas.openxmlformats.org/spreadsheetml/2006/main" headerRowCount="0" ref="A81:M83" displayName="Table_2" name="Table_2" id="5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Февраль_2025-style 2" showColumnStripes="0" showFirstColumn="1" showLastColumn="1" showRowStripes="1"/>
</table>
</file>

<file path=xl/tables/table6.xml><?xml version="1.0" encoding="utf-8"?>
<table xmlns="http://schemas.openxmlformats.org/spreadsheetml/2006/main" ref="A90:I94" displayName="Февраль_2025_свод" name="Февраль_2025_свод" id="6">
  <tableColumns count="9">
    <tableColumn name="Филиал ТЦ" id="1"/>
    <tableColumn name="Общая площадь (м²)" id="2"/>
    <tableColumn name="Арендуемая площадь (м²)" id="3"/>
    <tableColumn name="Помещений всего, шт" id="4"/>
    <tableColumn name="Магазинов, шт" id="5"/>
    <tableColumn name="Всего продаж (мес)" id="6"/>
    <tableColumn name="Общая вручка (руб/мес)" id="7"/>
    <tableColumn name="Общий долг по аренде (руб)" id="8"/>
    <tableColumn name="Удельная выручка (руб/мес)" id="9"/>
  </tableColumns>
  <tableStyleInfo name="Февраль_2025-style 3" showColumnStripes="0" showFirstColumn="1" showLastColumn="1" showRowStripes="1"/>
</table>
</file>

<file path=xl/tables/table7.xml><?xml version="1.0" encoding="utf-8"?>
<table xmlns="http://schemas.openxmlformats.org/spreadsheetml/2006/main" ref="A1:I80" displayName="Март_2025" name="Март_2025" id="7">
  <tableColumns count="9">
    <tableColumn name="Филиал ТЦ" id="1"/>
    <tableColumn name="ID арендатора" id="2"/>
    <tableColumn name="Столбец 3" id="3"/>
    <tableColumn name="Категория" id="4"/>
    <tableColumn name="Номер помещения" id="5"/>
    <tableColumn name="Площадь (м²)" id="6"/>
    <tableColumn name="Продажи/мес" id="7"/>
    <tableColumn name="Выручка (руб/мес)" id="8"/>
    <tableColumn name="Долг по аренде (руб)" id="9"/>
  </tableColumns>
  <tableStyleInfo name="Март_2025-style" showColumnStripes="0" showFirstColumn="1" showLastColumn="1" showRowStripes="1"/>
</table>
</file>

<file path=xl/tables/table8.xml><?xml version="1.0" encoding="utf-8"?>
<table xmlns="http://schemas.openxmlformats.org/spreadsheetml/2006/main" headerRowCount="0" ref="A81:M83" displayName="Table_3" name="Table_3" id="8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Март_2025-style 2" showColumnStripes="0" showFirstColumn="1" showLastColumn="1" showRowStripes="1"/>
</table>
</file>

<file path=xl/tables/table9.xml><?xml version="1.0" encoding="utf-8"?>
<table xmlns="http://schemas.openxmlformats.org/spreadsheetml/2006/main" ref="A90:I94" displayName="Март_2025_свод" name="Март_2025_свод" id="9">
  <tableColumns count="9">
    <tableColumn name="Филиал ТЦ" id="1"/>
    <tableColumn name="Общая площадь (м²)" id="2"/>
    <tableColumn name="Арендуемая площадь (м²)" id="3"/>
    <tableColumn name="Помещений всего, шт" id="4"/>
    <tableColumn name="Магазинов, шт" id="5"/>
    <tableColumn name="Всего продаж (мес)" id="6"/>
    <tableColumn name="Общая вручка (руб/мес)" id="7"/>
    <tableColumn name="Общий долг по аренде (руб)" id="8"/>
    <tableColumn name="Удельная выручка (руб/мес)" id="9"/>
  </tableColumns>
  <tableStyleInfo name="Март_2025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13.xml"/><Relationship Id="rId6" Type="http://schemas.openxmlformats.org/officeDocument/2006/relationships/table" Target="../tables/table14.xml"/><Relationship Id="rId7" Type="http://schemas.openxmlformats.org/officeDocument/2006/relationships/table" Target="../tables/table1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5" Type="http://schemas.openxmlformats.org/officeDocument/2006/relationships/table" Target="../tables/table16.xml"/><Relationship Id="rId6" Type="http://schemas.openxmlformats.org/officeDocument/2006/relationships/table" Target="../tables/table17.xml"/><Relationship Id="rId7" Type="http://schemas.openxmlformats.org/officeDocument/2006/relationships/table" Target="../tables/table1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11" Type="http://schemas.openxmlformats.org/officeDocument/2006/relationships/table" Target="../tables/table22.xml"/><Relationship Id="rId10" Type="http://schemas.openxmlformats.org/officeDocument/2006/relationships/table" Target="../tables/table21.xml"/><Relationship Id="rId13" Type="http://schemas.openxmlformats.org/officeDocument/2006/relationships/table" Target="../tables/table24.xml"/><Relationship Id="rId12" Type="http://schemas.openxmlformats.org/officeDocument/2006/relationships/table" Target="../tables/table23.xml"/><Relationship Id="rId9" Type="http://schemas.openxmlformats.org/officeDocument/2006/relationships/table" Target="../tables/table20.xml"/><Relationship Id="rId8" Type="http://schemas.openxmlformats.org/officeDocument/2006/relationships/table" Target="../tables/table1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2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29"/>
    <col customWidth="1" min="2" max="2" width="17.14"/>
    <col customWidth="1" min="3" max="3" width="22.29"/>
    <col customWidth="1" min="4" max="4" width="21.57"/>
    <col customWidth="1" min="5" max="5" width="18.14"/>
    <col customWidth="1" min="6" max="6" width="20.14"/>
    <col customWidth="1" min="7" max="7" width="21.57"/>
    <col customWidth="1" min="8" max="8" width="19.14"/>
    <col customWidth="1" min="9" max="9" width="20.57"/>
    <col customWidth="1" min="10" max="10" width="18.29"/>
    <col customWidth="1" min="11" max="11" width="12.14"/>
    <col customWidth="1" min="12" max="12" width="20.71"/>
    <col customWidth="1" min="13" max="13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s">
        <v>10</v>
      </c>
      <c r="C2" s="3" t="s">
        <v>11</v>
      </c>
      <c r="D2" s="4" t="s">
        <v>12</v>
      </c>
      <c r="E2" s="5">
        <v>401.0</v>
      </c>
      <c r="F2" s="5">
        <v>140.0</v>
      </c>
      <c r="G2" s="5">
        <v>74.0</v>
      </c>
      <c r="H2" s="6">
        <v>1125000.0</v>
      </c>
      <c r="I2" s="7">
        <v>45000.0</v>
      </c>
    </row>
    <row r="3">
      <c r="A3" s="2" t="s">
        <v>13</v>
      </c>
      <c r="B3" s="3" t="s">
        <v>14</v>
      </c>
      <c r="C3" s="3" t="s">
        <v>15</v>
      </c>
      <c r="D3" s="4" t="s">
        <v>12</v>
      </c>
      <c r="E3" s="5">
        <v>102.0</v>
      </c>
      <c r="F3" s="5">
        <v>130.0</v>
      </c>
      <c r="G3" s="5">
        <v>63.0</v>
      </c>
      <c r="H3" s="6">
        <v>975000.0</v>
      </c>
      <c r="I3" s="7">
        <v>0.0</v>
      </c>
    </row>
    <row r="4">
      <c r="A4" s="2" t="s">
        <v>16</v>
      </c>
      <c r="B4" s="3" t="s">
        <v>17</v>
      </c>
      <c r="C4" s="3" t="s">
        <v>18</v>
      </c>
      <c r="D4" s="4" t="s">
        <v>12</v>
      </c>
      <c r="E4" s="5">
        <v>201.0</v>
      </c>
      <c r="F4" s="5">
        <v>150.0</v>
      </c>
      <c r="G4" s="5">
        <v>82.0</v>
      </c>
      <c r="H4" s="6">
        <v>1275000.0</v>
      </c>
      <c r="I4" s="7">
        <v>0.0</v>
      </c>
    </row>
    <row r="5">
      <c r="A5" s="2" t="s">
        <v>19</v>
      </c>
      <c r="B5" s="3" t="s">
        <v>20</v>
      </c>
      <c r="C5" s="3" t="s">
        <v>21</v>
      </c>
      <c r="D5" s="4" t="s">
        <v>12</v>
      </c>
      <c r="E5" s="5">
        <v>319.0</v>
      </c>
      <c r="F5" s="5">
        <v>120.0</v>
      </c>
      <c r="G5" s="5">
        <v>55.0</v>
      </c>
      <c r="H5" s="6">
        <v>900000.0</v>
      </c>
      <c r="I5" s="7">
        <v>0.0</v>
      </c>
    </row>
    <row r="6">
      <c r="A6" s="2" t="s">
        <v>9</v>
      </c>
      <c r="B6" s="3" t="s">
        <v>22</v>
      </c>
      <c r="C6" s="3" t="s">
        <v>23</v>
      </c>
      <c r="D6" s="4" t="s">
        <v>24</v>
      </c>
      <c r="E6" s="5">
        <v>403.0</v>
      </c>
      <c r="F6" s="5">
        <v>130.0</v>
      </c>
      <c r="G6" s="5">
        <v>60.0</v>
      </c>
      <c r="H6" s="6">
        <v>1040000.0</v>
      </c>
      <c r="I6" s="7">
        <v>60000.0</v>
      </c>
    </row>
    <row r="7">
      <c r="A7" s="8" t="s">
        <v>9</v>
      </c>
      <c r="B7" s="3" t="s">
        <v>25</v>
      </c>
      <c r="C7" s="9" t="s">
        <v>26</v>
      </c>
      <c r="D7" s="10" t="s">
        <v>24</v>
      </c>
      <c r="E7" s="5">
        <v>405.0</v>
      </c>
      <c r="F7" s="11">
        <v>50.0</v>
      </c>
      <c r="G7" s="11">
        <v>4.0</v>
      </c>
      <c r="H7" s="12">
        <v>760000.0</v>
      </c>
      <c r="I7" s="13">
        <v>0.0</v>
      </c>
    </row>
    <row r="8">
      <c r="A8" s="2" t="s">
        <v>13</v>
      </c>
      <c r="B8" s="3" t="s">
        <v>27</v>
      </c>
      <c r="C8" s="3" t="s">
        <v>28</v>
      </c>
      <c r="D8" s="4" t="s">
        <v>24</v>
      </c>
      <c r="E8" s="5">
        <v>104.0</v>
      </c>
      <c r="F8" s="5">
        <v>96.0</v>
      </c>
      <c r="G8" s="5">
        <v>13.0</v>
      </c>
      <c r="H8" s="6">
        <v>990000.0</v>
      </c>
      <c r="I8" s="7">
        <v>30000.0</v>
      </c>
    </row>
    <row r="9">
      <c r="A9" s="14" t="s">
        <v>13</v>
      </c>
      <c r="B9" s="3" t="s">
        <v>29</v>
      </c>
      <c r="C9" s="9" t="s">
        <v>30</v>
      </c>
      <c r="D9" s="10" t="s">
        <v>24</v>
      </c>
      <c r="E9" s="5">
        <v>106.0</v>
      </c>
      <c r="F9" s="11">
        <v>53.0</v>
      </c>
      <c r="G9" s="11">
        <v>4.0</v>
      </c>
      <c r="H9" s="12">
        <v>630000.0</v>
      </c>
      <c r="I9" s="13">
        <v>0.0</v>
      </c>
    </row>
    <row r="10">
      <c r="A10" s="2" t="s">
        <v>16</v>
      </c>
      <c r="B10" s="3" t="s">
        <v>31</v>
      </c>
      <c r="C10" s="3" t="s">
        <v>26</v>
      </c>
      <c r="D10" s="4" t="s">
        <v>24</v>
      </c>
      <c r="E10" s="5">
        <v>202.0</v>
      </c>
      <c r="F10" s="5">
        <v>140.0</v>
      </c>
      <c r="G10" s="5">
        <v>10.0</v>
      </c>
      <c r="H10" s="6">
        <v>1190000.0</v>
      </c>
      <c r="I10" s="7">
        <v>0.0</v>
      </c>
    </row>
    <row r="11">
      <c r="A11" s="15" t="s">
        <v>16</v>
      </c>
      <c r="B11" s="3" t="s">
        <v>32</v>
      </c>
      <c r="C11" s="16" t="s">
        <v>33</v>
      </c>
      <c r="D11" s="10" t="s">
        <v>24</v>
      </c>
      <c r="E11" s="5">
        <v>203.0</v>
      </c>
      <c r="F11" s="11">
        <v>91.0</v>
      </c>
      <c r="G11" s="11">
        <v>26.0</v>
      </c>
      <c r="H11" s="12">
        <v>1500000.0</v>
      </c>
      <c r="I11" s="13">
        <v>0.0</v>
      </c>
    </row>
    <row r="12">
      <c r="A12" s="2" t="s">
        <v>19</v>
      </c>
      <c r="B12" s="3" t="s">
        <v>34</v>
      </c>
      <c r="C12" s="3" t="s">
        <v>35</v>
      </c>
      <c r="D12" s="4" t="s">
        <v>24</v>
      </c>
      <c r="E12" s="5">
        <v>318.0</v>
      </c>
      <c r="F12" s="5">
        <v>110.0</v>
      </c>
      <c r="G12" s="5">
        <v>50.0</v>
      </c>
      <c r="H12" s="6">
        <v>900000.0</v>
      </c>
      <c r="I12" s="7">
        <v>0.0</v>
      </c>
    </row>
    <row r="13">
      <c r="A13" s="17" t="s">
        <v>19</v>
      </c>
      <c r="B13" s="3" t="s">
        <v>36</v>
      </c>
      <c r="C13" s="9" t="s">
        <v>37</v>
      </c>
      <c r="D13" s="10" t="s">
        <v>24</v>
      </c>
      <c r="E13" s="5">
        <v>317.0</v>
      </c>
      <c r="F13" s="11">
        <v>42.0</v>
      </c>
      <c r="G13" s="11">
        <v>3.0</v>
      </c>
      <c r="H13" s="12">
        <v>560000.0</v>
      </c>
      <c r="I13" s="13">
        <v>0.0</v>
      </c>
    </row>
    <row r="14">
      <c r="A14" s="2" t="s">
        <v>9</v>
      </c>
      <c r="B14" s="3" t="s">
        <v>38</v>
      </c>
      <c r="C14" s="3" t="s">
        <v>39</v>
      </c>
      <c r="D14" s="4" t="s">
        <v>40</v>
      </c>
      <c r="E14" s="5">
        <v>419.0</v>
      </c>
      <c r="F14" s="5">
        <v>190.0</v>
      </c>
      <c r="G14" s="5">
        <v>45.0</v>
      </c>
      <c r="H14" s="6">
        <v>2415000.0</v>
      </c>
      <c r="I14" s="7">
        <v>0.0</v>
      </c>
    </row>
    <row r="15">
      <c r="A15" s="2" t="s">
        <v>9</v>
      </c>
      <c r="B15" s="3" t="s">
        <v>41</v>
      </c>
      <c r="C15" s="3" t="s">
        <v>42</v>
      </c>
      <c r="D15" s="4" t="s">
        <v>40</v>
      </c>
      <c r="E15" s="5">
        <v>430.0</v>
      </c>
      <c r="F15" s="5">
        <v>255.0</v>
      </c>
      <c r="G15" s="5">
        <v>35.0</v>
      </c>
      <c r="H15" s="6">
        <v>2500000.0</v>
      </c>
      <c r="I15" s="7">
        <v>24670.0</v>
      </c>
    </row>
    <row r="16">
      <c r="A16" s="2" t="s">
        <v>13</v>
      </c>
      <c r="B16" s="3" t="s">
        <v>43</v>
      </c>
      <c r="C16" s="3" t="s">
        <v>44</v>
      </c>
      <c r="D16" s="4" t="s">
        <v>40</v>
      </c>
      <c r="E16" s="5">
        <v>120.0</v>
      </c>
      <c r="F16" s="5">
        <v>180.0</v>
      </c>
      <c r="G16" s="5">
        <v>23.0</v>
      </c>
      <c r="H16" s="6">
        <v>2160000.0</v>
      </c>
      <c r="I16" s="7">
        <v>120000.0</v>
      </c>
    </row>
    <row r="17">
      <c r="A17" s="2" t="s">
        <v>13</v>
      </c>
      <c r="B17" s="3" t="s">
        <v>45</v>
      </c>
      <c r="C17" s="16" t="s">
        <v>46</v>
      </c>
      <c r="D17" s="4" t="s">
        <v>40</v>
      </c>
      <c r="E17" s="5">
        <v>135.0</v>
      </c>
      <c r="F17" s="5">
        <v>66.0</v>
      </c>
      <c r="G17" s="5">
        <v>6.0</v>
      </c>
      <c r="H17" s="6">
        <v>540000.0</v>
      </c>
      <c r="I17" s="7">
        <v>120180.0</v>
      </c>
    </row>
    <row r="18">
      <c r="A18" s="2" t="s">
        <v>16</v>
      </c>
      <c r="B18" s="3" t="s">
        <v>47</v>
      </c>
      <c r="C18" s="3" t="s">
        <v>48</v>
      </c>
      <c r="D18" s="4" t="s">
        <v>40</v>
      </c>
      <c r="E18" s="5">
        <v>210.0</v>
      </c>
      <c r="F18" s="5">
        <v>200.0</v>
      </c>
      <c r="G18" s="5">
        <v>34.0</v>
      </c>
      <c r="H18" s="6">
        <v>2400000.0</v>
      </c>
      <c r="I18" s="7">
        <v>0.0</v>
      </c>
    </row>
    <row r="19">
      <c r="A19" s="2" t="s">
        <v>16</v>
      </c>
      <c r="B19" s="3" t="s">
        <v>49</v>
      </c>
      <c r="C19" s="16" t="s">
        <v>50</v>
      </c>
      <c r="D19" s="4" t="s">
        <v>40</v>
      </c>
      <c r="E19" s="5">
        <v>220.0</v>
      </c>
      <c r="F19" s="5">
        <v>96.0</v>
      </c>
      <c r="G19" s="5">
        <v>18.0</v>
      </c>
      <c r="H19" s="6">
        <v>1800000.0</v>
      </c>
      <c r="I19" s="7">
        <v>18460.0</v>
      </c>
    </row>
    <row r="20">
      <c r="A20" s="2" t="s">
        <v>19</v>
      </c>
      <c r="B20" s="3" t="s">
        <v>51</v>
      </c>
      <c r="C20" s="3" t="s">
        <v>52</v>
      </c>
      <c r="D20" s="4" t="s">
        <v>40</v>
      </c>
      <c r="E20" s="5">
        <v>310.0</v>
      </c>
      <c r="F20" s="5">
        <v>170.0</v>
      </c>
      <c r="G20" s="5">
        <v>16.0</v>
      </c>
      <c r="H20" s="6">
        <v>2465000.0</v>
      </c>
      <c r="I20" s="7">
        <v>0.0</v>
      </c>
    </row>
    <row r="21">
      <c r="A21" s="2" t="s">
        <v>19</v>
      </c>
      <c r="B21" s="3" t="s">
        <v>53</v>
      </c>
      <c r="C21" s="16" t="s">
        <v>54</v>
      </c>
      <c r="D21" s="4" t="s">
        <v>40</v>
      </c>
      <c r="E21" s="5">
        <v>434.0</v>
      </c>
      <c r="F21" s="5">
        <v>46.0</v>
      </c>
      <c r="G21" s="5">
        <v>11.0</v>
      </c>
      <c r="H21" s="6">
        <v>1500000.0</v>
      </c>
      <c r="I21" s="7">
        <v>11900.0</v>
      </c>
    </row>
    <row r="22">
      <c r="A22" s="2" t="s">
        <v>16</v>
      </c>
      <c r="B22" s="3" t="s">
        <v>55</v>
      </c>
      <c r="C22" s="3" t="s">
        <v>56</v>
      </c>
      <c r="D22" s="4" t="s">
        <v>57</v>
      </c>
      <c r="E22" s="5">
        <v>204.0</v>
      </c>
      <c r="F22" s="5">
        <v>170.0</v>
      </c>
      <c r="G22" s="5">
        <v>80.0</v>
      </c>
      <c r="H22" s="6">
        <v>1360000.0</v>
      </c>
      <c r="I22" s="7">
        <v>0.0</v>
      </c>
    </row>
    <row r="23">
      <c r="A23" s="2" t="s">
        <v>16</v>
      </c>
      <c r="B23" s="3" t="s">
        <v>58</v>
      </c>
      <c r="C23" s="16" t="s">
        <v>59</v>
      </c>
      <c r="D23" s="4" t="s">
        <v>57</v>
      </c>
      <c r="E23" s="5">
        <v>205.0</v>
      </c>
      <c r="F23" s="5">
        <v>620.0</v>
      </c>
      <c r="G23" s="5">
        <v>47.0</v>
      </c>
      <c r="H23" s="6">
        <v>7500000.0</v>
      </c>
      <c r="I23" s="7">
        <v>0.0</v>
      </c>
    </row>
    <row r="24">
      <c r="A24" s="2" t="s">
        <v>19</v>
      </c>
      <c r="B24" s="3" t="s">
        <v>60</v>
      </c>
      <c r="C24" s="3" t="s">
        <v>61</v>
      </c>
      <c r="D24" s="4" t="s">
        <v>57</v>
      </c>
      <c r="E24" s="5">
        <v>316.0</v>
      </c>
      <c r="F24" s="5">
        <v>92.0</v>
      </c>
      <c r="G24" s="5">
        <v>9.0</v>
      </c>
      <c r="H24" s="6">
        <v>319000.0</v>
      </c>
      <c r="I24" s="7">
        <v>0.0</v>
      </c>
    </row>
    <row r="25">
      <c r="A25" s="2" t="s">
        <v>19</v>
      </c>
      <c r="B25" s="3" t="s">
        <v>62</v>
      </c>
      <c r="C25" s="16" t="s">
        <v>59</v>
      </c>
      <c r="D25" s="4" t="s">
        <v>57</v>
      </c>
      <c r="E25" s="5">
        <v>315.0</v>
      </c>
      <c r="F25" s="5">
        <v>45.0</v>
      </c>
      <c r="G25" s="5">
        <v>14.0</v>
      </c>
      <c r="H25" s="6">
        <v>475000.0</v>
      </c>
      <c r="I25" s="7">
        <v>0.0</v>
      </c>
    </row>
    <row r="26">
      <c r="A26" s="2" t="s">
        <v>9</v>
      </c>
      <c r="B26" s="3" t="s">
        <v>63</v>
      </c>
      <c r="C26" s="3" t="s">
        <v>64</v>
      </c>
      <c r="D26" s="4" t="s">
        <v>65</v>
      </c>
      <c r="E26" s="5">
        <v>431.0</v>
      </c>
      <c r="F26" s="5">
        <v>170.0</v>
      </c>
      <c r="G26" s="5">
        <v>27.0</v>
      </c>
      <c r="H26" s="6">
        <v>3700500.0</v>
      </c>
      <c r="I26" s="7">
        <v>0.0</v>
      </c>
    </row>
    <row r="27">
      <c r="A27" s="2" t="s">
        <v>9</v>
      </c>
      <c r="B27" s="3" t="s">
        <v>66</v>
      </c>
      <c r="C27" s="16" t="s">
        <v>67</v>
      </c>
      <c r="D27" s="4" t="s">
        <v>65</v>
      </c>
      <c r="E27" s="5">
        <v>433.0</v>
      </c>
      <c r="F27" s="18">
        <v>66.0</v>
      </c>
      <c r="G27" s="18">
        <v>1.0</v>
      </c>
      <c r="H27" s="19">
        <v>890000.0</v>
      </c>
      <c r="I27" s="20">
        <v>50000.0</v>
      </c>
    </row>
    <row r="28">
      <c r="A28" s="2" t="s">
        <v>9</v>
      </c>
      <c r="B28" s="3" t="s">
        <v>68</v>
      </c>
      <c r="C28" s="16" t="s">
        <v>69</v>
      </c>
      <c r="D28" s="4" t="s">
        <v>65</v>
      </c>
      <c r="E28" s="5">
        <v>435.0</v>
      </c>
      <c r="F28" s="18">
        <v>80.0</v>
      </c>
      <c r="G28" s="18">
        <v>2.0</v>
      </c>
      <c r="H28" s="19">
        <v>353000.0</v>
      </c>
      <c r="I28" s="20">
        <v>0.0</v>
      </c>
    </row>
    <row r="29">
      <c r="A29" s="2" t="s">
        <v>9</v>
      </c>
      <c r="B29" s="3" t="s">
        <v>70</v>
      </c>
      <c r="C29" s="16" t="s">
        <v>71</v>
      </c>
      <c r="D29" s="4" t="s">
        <v>65</v>
      </c>
      <c r="E29" s="5">
        <v>437.0</v>
      </c>
      <c r="F29" s="18">
        <v>45.0</v>
      </c>
      <c r="G29" s="18">
        <v>2.0</v>
      </c>
      <c r="H29" s="19">
        <v>75000.0</v>
      </c>
      <c r="I29" s="20">
        <v>45000.0</v>
      </c>
    </row>
    <row r="30">
      <c r="A30" s="2" t="s">
        <v>13</v>
      </c>
      <c r="B30" s="3" t="s">
        <v>72</v>
      </c>
      <c r="C30" s="3" t="s">
        <v>67</v>
      </c>
      <c r="D30" s="4" t="s">
        <v>65</v>
      </c>
      <c r="E30" s="5">
        <v>132.0</v>
      </c>
      <c r="F30" s="5">
        <v>160.0</v>
      </c>
      <c r="G30" s="5">
        <v>15.0</v>
      </c>
      <c r="H30" s="6">
        <v>2040000.0</v>
      </c>
      <c r="I30" s="7">
        <v>0.0</v>
      </c>
    </row>
    <row r="31">
      <c r="A31" s="2" t="s">
        <v>13</v>
      </c>
      <c r="B31" s="3" t="s">
        <v>73</v>
      </c>
      <c r="C31" s="16" t="s">
        <v>74</v>
      </c>
      <c r="D31" s="4" t="s">
        <v>65</v>
      </c>
      <c r="E31" s="5">
        <v>134.0</v>
      </c>
      <c r="F31" s="18">
        <v>15.0</v>
      </c>
      <c r="G31" s="18">
        <v>4.0</v>
      </c>
      <c r="H31" s="19">
        <v>90000.0</v>
      </c>
      <c r="I31" s="20">
        <v>0.0</v>
      </c>
    </row>
    <row r="32">
      <c r="A32" s="2" t="s">
        <v>13</v>
      </c>
      <c r="B32" s="3" t="s">
        <v>75</v>
      </c>
      <c r="C32" s="16" t="s">
        <v>67</v>
      </c>
      <c r="D32" s="4" t="s">
        <v>65</v>
      </c>
      <c r="E32" s="5">
        <v>136.0</v>
      </c>
      <c r="F32" s="18">
        <v>80.0</v>
      </c>
      <c r="G32" s="18">
        <v>9.0</v>
      </c>
      <c r="H32" s="19">
        <v>1350000.0</v>
      </c>
      <c r="I32" s="20">
        <v>0.0</v>
      </c>
    </row>
    <row r="33">
      <c r="A33" s="2" t="s">
        <v>13</v>
      </c>
      <c r="B33" s="3" t="s">
        <v>76</v>
      </c>
      <c r="C33" s="3" t="s">
        <v>77</v>
      </c>
      <c r="D33" s="4" t="s">
        <v>65</v>
      </c>
      <c r="E33" s="5">
        <v>138.0</v>
      </c>
      <c r="F33" s="18">
        <v>65.0</v>
      </c>
      <c r="G33" s="18">
        <v>1.0</v>
      </c>
      <c r="H33" s="19">
        <v>3000000.0</v>
      </c>
      <c r="I33" s="20">
        <v>0.0</v>
      </c>
    </row>
    <row r="34">
      <c r="A34" s="2" t="s">
        <v>16</v>
      </c>
      <c r="B34" s="3" t="s">
        <v>78</v>
      </c>
      <c r="C34" s="3" t="s">
        <v>79</v>
      </c>
      <c r="D34" s="4" t="s">
        <v>65</v>
      </c>
      <c r="E34" s="5">
        <v>216.0</v>
      </c>
      <c r="F34" s="5">
        <v>180.0</v>
      </c>
      <c r="G34" s="5">
        <v>31.0</v>
      </c>
      <c r="H34" s="6">
        <v>3420000.0</v>
      </c>
      <c r="I34" s="7">
        <v>150000.0</v>
      </c>
    </row>
    <row r="35">
      <c r="A35" s="2" t="s">
        <v>16</v>
      </c>
      <c r="B35" s="3" t="s">
        <v>80</v>
      </c>
      <c r="C35" s="3" t="s">
        <v>81</v>
      </c>
      <c r="D35" s="4" t="s">
        <v>65</v>
      </c>
      <c r="E35" s="5">
        <v>217.0</v>
      </c>
      <c r="F35" s="18">
        <v>90.0</v>
      </c>
      <c r="G35" s="18">
        <v>4.0</v>
      </c>
      <c r="H35" s="19">
        <v>2400000.0</v>
      </c>
      <c r="I35" s="20">
        <v>0.0</v>
      </c>
    </row>
    <row r="36">
      <c r="A36" s="2" t="s">
        <v>16</v>
      </c>
      <c r="B36" s="3" t="s">
        <v>82</v>
      </c>
      <c r="C36" s="3" t="s">
        <v>77</v>
      </c>
      <c r="D36" s="4" t="s">
        <v>65</v>
      </c>
      <c r="E36" s="5">
        <v>218.0</v>
      </c>
      <c r="F36" s="18">
        <v>90.0</v>
      </c>
      <c r="G36" s="18">
        <v>0.0</v>
      </c>
      <c r="H36" s="19">
        <v>0.0</v>
      </c>
      <c r="I36" s="20">
        <v>500000.0</v>
      </c>
    </row>
    <row r="37">
      <c r="A37" s="2" t="s">
        <v>16</v>
      </c>
      <c r="B37" s="3" t="s">
        <v>83</v>
      </c>
      <c r="C37" s="3" t="s">
        <v>84</v>
      </c>
      <c r="D37" s="4" t="s">
        <v>65</v>
      </c>
      <c r="E37" s="5">
        <v>219.0</v>
      </c>
      <c r="F37" s="18">
        <v>90.0</v>
      </c>
      <c r="G37" s="18">
        <v>2.0</v>
      </c>
      <c r="H37" s="19">
        <v>1750000.0</v>
      </c>
      <c r="I37" s="20">
        <v>50000.0</v>
      </c>
    </row>
    <row r="38">
      <c r="A38" s="2" t="s">
        <v>19</v>
      </c>
      <c r="B38" s="3" t="s">
        <v>85</v>
      </c>
      <c r="C38" s="3" t="s">
        <v>86</v>
      </c>
      <c r="D38" s="4" t="s">
        <v>65</v>
      </c>
      <c r="E38" s="5">
        <v>304.0</v>
      </c>
      <c r="F38" s="5">
        <v>150.0</v>
      </c>
      <c r="G38" s="5">
        <v>20.0</v>
      </c>
      <c r="H38" s="6">
        <v>1800000.0</v>
      </c>
      <c r="I38" s="7">
        <v>90000.0</v>
      </c>
    </row>
    <row r="39">
      <c r="A39" s="2" t="s">
        <v>19</v>
      </c>
      <c r="B39" s="3" t="s">
        <v>87</v>
      </c>
      <c r="C39" s="16" t="s">
        <v>69</v>
      </c>
      <c r="D39" s="4" t="s">
        <v>65</v>
      </c>
      <c r="E39" s="5">
        <v>303.0</v>
      </c>
      <c r="F39" s="18">
        <v>40.0</v>
      </c>
      <c r="G39" s="18">
        <v>1.0</v>
      </c>
      <c r="H39" s="19">
        <v>2100000.0</v>
      </c>
      <c r="I39" s="20">
        <v>300000.0</v>
      </c>
    </row>
    <row r="40">
      <c r="A40" s="2" t="s">
        <v>19</v>
      </c>
      <c r="B40" s="3" t="s">
        <v>88</v>
      </c>
      <c r="C40" s="16" t="s">
        <v>89</v>
      </c>
      <c r="D40" s="4" t="s">
        <v>65</v>
      </c>
      <c r="E40" s="5">
        <v>302.0</v>
      </c>
      <c r="F40" s="18">
        <v>90.0</v>
      </c>
      <c r="G40" s="18">
        <v>19.0</v>
      </c>
      <c r="H40" s="19">
        <v>4200000.0</v>
      </c>
      <c r="I40" s="20">
        <v>0.0</v>
      </c>
    </row>
    <row r="41">
      <c r="A41" s="2" t="s">
        <v>19</v>
      </c>
      <c r="B41" s="3" t="s">
        <v>90</v>
      </c>
      <c r="C41" s="3" t="s">
        <v>81</v>
      </c>
      <c r="D41" s="4" t="s">
        <v>65</v>
      </c>
      <c r="E41" s="5">
        <v>301.0</v>
      </c>
      <c r="F41" s="18">
        <v>60.0</v>
      </c>
      <c r="G41" s="18">
        <v>7.0</v>
      </c>
      <c r="H41" s="19">
        <v>900000.0</v>
      </c>
      <c r="I41" s="20">
        <v>0.0</v>
      </c>
    </row>
    <row r="42">
      <c r="A42" s="2" t="s">
        <v>9</v>
      </c>
      <c r="B42" s="3" t="s">
        <v>91</v>
      </c>
      <c r="C42" s="3" t="s">
        <v>92</v>
      </c>
      <c r="D42" s="4" t="s">
        <v>93</v>
      </c>
      <c r="E42" s="5">
        <v>411.0</v>
      </c>
      <c r="F42" s="5">
        <v>210.0</v>
      </c>
      <c r="G42" s="5">
        <v>100.0</v>
      </c>
      <c r="H42" s="6">
        <v>3150000.0</v>
      </c>
      <c r="I42" s="7">
        <v>0.0</v>
      </c>
    </row>
    <row r="43">
      <c r="A43" s="2" t="s">
        <v>9</v>
      </c>
      <c r="B43" s="3" t="s">
        <v>94</v>
      </c>
      <c r="C43" s="16" t="s">
        <v>95</v>
      </c>
      <c r="D43" s="4" t="s">
        <v>93</v>
      </c>
      <c r="E43" s="5">
        <v>413.0</v>
      </c>
      <c r="F43" s="5">
        <v>70.0</v>
      </c>
      <c r="G43" s="5">
        <v>15.0</v>
      </c>
      <c r="H43" s="6">
        <v>750000.0</v>
      </c>
      <c r="I43" s="7">
        <v>0.0</v>
      </c>
    </row>
    <row r="44">
      <c r="A44" s="2" t="s">
        <v>9</v>
      </c>
      <c r="B44" s="3" t="s">
        <v>96</v>
      </c>
      <c r="C44" s="16" t="s">
        <v>97</v>
      </c>
      <c r="D44" s="4" t="s">
        <v>93</v>
      </c>
      <c r="E44" s="5">
        <v>415.0</v>
      </c>
      <c r="F44" s="5">
        <v>70.0</v>
      </c>
      <c r="G44" s="5">
        <v>6.0</v>
      </c>
      <c r="H44" s="6">
        <v>5100000.0</v>
      </c>
      <c r="I44" s="7">
        <v>400000.0</v>
      </c>
    </row>
    <row r="45">
      <c r="A45" s="2" t="s">
        <v>9</v>
      </c>
      <c r="B45" s="3" t="s">
        <v>98</v>
      </c>
      <c r="C45" s="16" t="s">
        <v>99</v>
      </c>
      <c r="D45" s="4" t="s">
        <v>93</v>
      </c>
      <c r="E45" s="5">
        <v>417.0</v>
      </c>
      <c r="F45" s="5">
        <v>70.0</v>
      </c>
      <c r="G45" s="5">
        <v>6.0</v>
      </c>
      <c r="H45" s="6">
        <v>600000.0</v>
      </c>
      <c r="I45" s="7">
        <v>50000.0</v>
      </c>
    </row>
    <row r="46">
      <c r="A46" s="2" t="s">
        <v>13</v>
      </c>
      <c r="B46" s="3" t="s">
        <v>100</v>
      </c>
      <c r="C46" s="3" t="s">
        <v>101</v>
      </c>
      <c r="D46" s="4" t="s">
        <v>93</v>
      </c>
      <c r="E46" s="5">
        <v>112.0</v>
      </c>
      <c r="F46" s="5">
        <v>200.0</v>
      </c>
      <c r="G46" s="5">
        <v>95.0</v>
      </c>
      <c r="H46" s="6">
        <v>3420000.0</v>
      </c>
      <c r="I46" s="7">
        <v>200000.0</v>
      </c>
    </row>
    <row r="47">
      <c r="A47" s="2" t="s">
        <v>13</v>
      </c>
      <c r="B47" s="3" t="s">
        <v>102</v>
      </c>
      <c r="C47" s="16" t="s">
        <v>99</v>
      </c>
      <c r="D47" s="4" t="s">
        <v>93</v>
      </c>
      <c r="E47" s="5">
        <v>114.0</v>
      </c>
      <c r="F47" s="5">
        <v>50.0</v>
      </c>
      <c r="G47" s="5">
        <v>8.0</v>
      </c>
      <c r="H47" s="6">
        <v>710000.0</v>
      </c>
      <c r="I47" s="7">
        <v>0.0</v>
      </c>
    </row>
    <row r="48">
      <c r="A48" s="2" t="s">
        <v>13</v>
      </c>
      <c r="B48" s="3" t="s">
        <v>103</v>
      </c>
      <c r="C48" s="16" t="s">
        <v>104</v>
      </c>
      <c r="D48" s="4" t="s">
        <v>93</v>
      </c>
      <c r="E48" s="5">
        <v>116.0</v>
      </c>
      <c r="F48" s="5">
        <v>150.0</v>
      </c>
      <c r="G48" s="5">
        <v>2.0</v>
      </c>
      <c r="H48" s="6">
        <v>1500000.0</v>
      </c>
      <c r="I48" s="7">
        <v>0.0</v>
      </c>
    </row>
    <row r="49">
      <c r="A49" s="2" t="s">
        <v>13</v>
      </c>
      <c r="B49" s="3" t="s">
        <v>105</v>
      </c>
      <c r="C49" s="16" t="s">
        <v>106</v>
      </c>
      <c r="D49" s="4" t="s">
        <v>93</v>
      </c>
      <c r="E49" s="5">
        <v>118.0</v>
      </c>
      <c r="F49" s="5">
        <v>100.0</v>
      </c>
      <c r="G49" s="5">
        <v>32.0</v>
      </c>
      <c r="H49" s="6">
        <v>1850000.0</v>
      </c>
      <c r="I49" s="7">
        <v>0.0</v>
      </c>
    </row>
    <row r="50">
      <c r="A50" s="2" t="s">
        <v>16</v>
      </c>
      <c r="B50" s="3" t="s">
        <v>107</v>
      </c>
      <c r="C50" s="3" t="s">
        <v>108</v>
      </c>
      <c r="D50" s="4" t="s">
        <v>93</v>
      </c>
      <c r="E50" s="5">
        <v>206.0</v>
      </c>
      <c r="F50" s="5">
        <v>220.0</v>
      </c>
      <c r="G50" s="5">
        <v>110.0</v>
      </c>
      <c r="H50" s="6">
        <v>3850000.0</v>
      </c>
      <c r="I50" s="7">
        <v>0.0</v>
      </c>
    </row>
    <row r="51">
      <c r="A51" s="2" t="s">
        <v>16</v>
      </c>
      <c r="B51" s="3" t="s">
        <v>109</v>
      </c>
      <c r="C51" s="16" t="s">
        <v>97</v>
      </c>
      <c r="D51" s="4" t="s">
        <v>93</v>
      </c>
      <c r="E51" s="5">
        <v>207.0</v>
      </c>
      <c r="F51" s="5">
        <v>250.0</v>
      </c>
      <c r="G51" s="5">
        <v>4.0</v>
      </c>
      <c r="H51" s="6">
        <v>4000000.0</v>
      </c>
      <c r="I51" s="7">
        <v>300000.0</v>
      </c>
    </row>
    <row r="52">
      <c r="A52" s="2" t="s">
        <v>16</v>
      </c>
      <c r="B52" s="3" t="s">
        <v>110</v>
      </c>
      <c r="C52" s="3" t="s">
        <v>111</v>
      </c>
      <c r="D52" s="4" t="s">
        <v>93</v>
      </c>
      <c r="E52" s="5">
        <v>208.0</v>
      </c>
      <c r="F52" s="5">
        <v>45.0</v>
      </c>
      <c r="G52" s="5">
        <v>15.0</v>
      </c>
      <c r="H52" s="6">
        <v>1000000.0</v>
      </c>
      <c r="I52" s="7">
        <v>0.0</v>
      </c>
    </row>
    <row r="53">
      <c r="A53" s="2" t="s">
        <v>16</v>
      </c>
      <c r="B53" s="3" t="s">
        <v>112</v>
      </c>
      <c r="C53" s="16" t="s">
        <v>113</v>
      </c>
      <c r="D53" s="4" t="s">
        <v>93</v>
      </c>
      <c r="E53" s="5">
        <v>209.0</v>
      </c>
      <c r="F53" s="5">
        <v>110.0</v>
      </c>
      <c r="G53" s="5">
        <v>12.0</v>
      </c>
      <c r="H53" s="6">
        <v>760000.0</v>
      </c>
      <c r="I53" s="7">
        <v>24000.0</v>
      </c>
    </row>
    <row r="54">
      <c r="A54" s="2" t="s">
        <v>19</v>
      </c>
      <c r="B54" s="3" t="s">
        <v>114</v>
      </c>
      <c r="C54" s="3" t="s">
        <v>115</v>
      </c>
      <c r="D54" s="4" t="s">
        <v>93</v>
      </c>
      <c r="E54" s="5">
        <v>314.0</v>
      </c>
      <c r="F54" s="5">
        <v>190.0</v>
      </c>
      <c r="G54" s="5">
        <v>90.0</v>
      </c>
      <c r="H54" s="6">
        <v>3040000.0</v>
      </c>
      <c r="I54" s="7">
        <v>0.0</v>
      </c>
    </row>
    <row r="55">
      <c r="A55" s="2" t="s">
        <v>19</v>
      </c>
      <c r="B55" s="3" t="s">
        <v>116</v>
      </c>
      <c r="C55" s="16" t="s">
        <v>104</v>
      </c>
      <c r="D55" s="4" t="s">
        <v>93</v>
      </c>
      <c r="E55" s="5">
        <v>313.0</v>
      </c>
      <c r="F55" s="5">
        <v>120.0</v>
      </c>
      <c r="G55" s="5">
        <v>0.0</v>
      </c>
      <c r="H55" s="6">
        <v>0.0</v>
      </c>
      <c r="I55" s="7">
        <v>0.0</v>
      </c>
    </row>
    <row r="56">
      <c r="A56" s="2" t="s">
        <v>19</v>
      </c>
      <c r="B56" s="3" t="s">
        <v>117</v>
      </c>
      <c r="C56" s="16" t="s">
        <v>106</v>
      </c>
      <c r="D56" s="4" t="s">
        <v>93</v>
      </c>
      <c r="E56" s="5">
        <v>312.0</v>
      </c>
      <c r="F56" s="5">
        <v>90.0</v>
      </c>
      <c r="G56" s="5">
        <v>36.0</v>
      </c>
      <c r="H56" s="6">
        <v>2300000.0</v>
      </c>
      <c r="I56" s="7">
        <v>0.0</v>
      </c>
    </row>
    <row r="57">
      <c r="A57" s="2" t="s">
        <v>19</v>
      </c>
      <c r="B57" s="3" t="s">
        <v>118</v>
      </c>
      <c r="C57" s="16" t="s">
        <v>95</v>
      </c>
      <c r="D57" s="4" t="s">
        <v>93</v>
      </c>
      <c r="E57" s="5">
        <v>311.0</v>
      </c>
      <c r="F57" s="5">
        <v>65.0</v>
      </c>
      <c r="G57" s="5">
        <v>10.0</v>
      </c>
      <c r="H57" s="6">
        <v>500000.0</v>
      </c>
      <c r="I57" s="7">
        <v>0.0</v>
      </c>
    </row>
    <row r="58">
      <c r="A58" s="2" t="s">
        <v>9</v>
      </c>
      <c r="B58" s="3" t="s">
        <v>119</v>
      </c>
      <c r="C58" s="3" t="s">
        <v>120</v>
      </c>
      <c r="D58" s="4" t="s">
        <v>121</v>
      </c>
      <c r="E58" s="5">
        <v>425.0</v>
      </c>
      <c r="F58" s="5">
        <v>180.0</v>
      </c>
      <c r="G58" s="5">
        <v>4.0</v>
      </c>
      <c r="H58" s="6">
        <v>1920000.0</v>
      </c>
      <c r="I58" s="7">
        <v>0.0</v>
      </c>
    </row>
    <row r="59">
      <c r="A59" s="2" t="s">
        <v>13</v>
      </c>
      <c r="B59" s="3" t="s">
        <v>122</v>
      </c>
      <c r="C59" s="3" t="s">
        <v>123</v>
      </c>
      <c r="D59" s="4" t="s">
        <v>121</v>
      </c>
      <c r="E59" s="5">
        <v>126.0</v>
      </c>
      <c r="F59" s="5">
        <v>100.0</v>
      </c>
      <c r="G59" s="5">
        <v>75.0</v>
      </c>
      <c r="H59" s="6">
        <v>1785000.0</v>
      </c>
      <c r="I59" s="7">
        <v>0.0</v>
      </c>
    </row>
    <row r="60">
      <c r="A60" s="2" t="s">
        <v>16</v>
      </c>
      <c r="B60" s="3" t="s">
        <v>124</v>
      </c>
      <c r="C60" s="3" t="s">
        <v>125</v>
      </c>
      <c r="D60" s="4" t="s">
        <v>121</v>
      </c>
      <c r="E60" s="5">
        <v>213.0</v>
      </c>
      <c r="F60" s="5">
        <v>80.0</v>
      </c>
      <c r="G60" s="5">
        <v>24.0</v>
      </c>
      <c r="H60" s="6">
        <v>2090000.0</v>
      </c>
      <c r="I60" s="7">
        <v>100000.0</v>
      </c>
    </row>
    <row r="61">
      <c r="A61" s="2" t="s">
        <v>19</v>
      </c>
      <c r="B61" s="3" t="s">
        <v>126</v>
      </c>
      <c r="C61" s="3" t="s">
        <v>127</v>
      </c>
      <c r="D61" s="4" t="s">
        <v>121</v>
      </c>
      <c r="E61" s="5">
        <v>307.0</v>
      </c>
      <c r="F61" s="5">
        <v>45.0</v>
      </c>
      <c r="G61" s="5">
        <v>70.0</v>
      </c>
      <c r="H61" s="6">
        <v>1680000.0</v>
      </c>
      <c r="I61" s="7">
        <v>70000.0</v>
      </c>
    </row>
    <row r="62">
      <c r="A62" s="2" t="s">
        <v>9</v>
      </c>
      <c r="B62" s="3" t="s">
        <v>128</v>
      </c>
      <c r="C62" s="3" t="s">
        <v>129</v>
      </c>
      <c r="D62" s="4" t="s">
        <v>130</v>
      </c>
      <c r="E62" s="5">
        <v>423.0</v>
      </c>
      <c r="F62" s="5">
        <v>100.0</v>
      </c>
      <c r="G62" s="5">
        <v>42.0</v>
      </c>
      <c r="H62" s="6">
        <v>495000.0</v>
      </c>
      <c r="I62" s="7">
        <v>0.0</v>
      </c>
    </row>
    <row r="63">
      <c r="A63" s="2" t="s">
        <v>13</v>
      </c>
      <c r="B63" s="3" t="s">
        <v>131</v>
      </c>
      <c r="C63" s="3" t="s">
        <v>132</v>
      </c>
      <c r="D63" s="4" t="s">
        <v>130</v>
      </c>
      <c r="E63" s="5">
        <v>124.0</v>
      </c>
      <c r="F63" s="5">
        <v>90.0</v>
      </c>
      <c r="G63" s="5">
        <v>35.0</v>
      </c>
      <c r="H63" s="6">
        <v>440000.0</v>
      </c>
      <c r="I63" s="7">
        <v>0.0</v>
      </c>
    </row>
    <row r="64">
      <c r="A64" s="2" t="s">
        <v>16</v>
      </c>
      <c r="B64" s="3" t="s">
        <v>133</v>
      </c>
      <c r="C64" s="3" t="s">
        <v>134</v>
      </c>
      <c r="D64" s="4" t="s">
        <v>130</v>
      </c>
      <c r="E64" s="5">
        <v>212.0</v>
      </c>
      <c r="F64" s="5">
        <v>110.0</v>
      </c>
      <c r="G64" s="5">
        <v>52.0</v>
      </c>
      <c r="H64" s="6">
        <v>550000.0</v>
      </c>
      <c r="I64" s="7">
        <v>0.0</v>
      </c>
    </row>
    <row r="65">
      <c r="A65" s="2" t="s">
        <v>19</v>
      </c>
      <c r="B65" s="3" t="s">
        <v>135</v>
      </c>
      <c r="C65" s="3" t="s">
        <v>136</v>
      </c>
      <c r="D65" s="4" t="s">
        <v>130</v>
      </c>
      <c r="E65" s="5">
        <v>308.0</v>
      </c>
      <c r="F65" s="5">
        <v>80.0</v>
      </c>
      <c r="G65" s="5">
        <v>33.0</v>
      </c>
      <c r="H65" s="6">
        <v>385000.0</v>
      </c>
      <c r="I65" s="7">
        <v>0.0</v>
      </c>
    </row>
    <row r="66">
      <c r="A66" s="2" t="s">
        <v>19</v>
      </c>
      <c r="B66" s="3"/>
      <c r="C66" s="3"/>
      <c r="D66" s="4" t="s">
        <v>137</v>
      </c>
      <c r="E66" s="5">
        <v>320.0</v>
      </c>
      <c r="F66" s="18">
        <v>360.0</v>
      </c>
      <c r="G66" s="18"/>
      <c r="H66" s="19"/>
      <c r="I66" s="20"/>
    </row>
    <row r="67">
      <c r="A67" s="2" t="s">
        <v>19</v>
      </c>
      <c r="B67" s="3"/>
      <c r="C67" s="3"/>
      <c r="D67" s="4" t="s">
        <v>137</v>
      </c>
      <c r="E67" s="5">
        <v>321.0</v>
      </c>
      <c r="F67" s="18">
        <v>50.0</v>
      </c>
      <c r="G67" s="18"/>
      <c r="H67" s="19"/>
      <c r="I67" s="20"/>
    </row>
    <row r="68">
      <c r="A68" s="2" t="s">
        <v>19</v>
      </c>
      <c r="B68" s="3"/>
      <c r="C68" s="3"/>
      <c r="D68" s="4" t="s">
        <v>137</v>
      </c>
      <c r="E68" s="5">
        <v>322.0</v>
      </c>
      <c r="F68" s="18">
        <v>75.0</v>
      </c>
      <c r="G68" s="18"/>
      <c r="H68" s="19"/>
      <c r="I68" s="20"/>
    </row>
    <row r="69">
      <c r="A69" s="2" t="s">
        <v>9</v>
      </c>
      <c r="B69" s="3" t="s">
        <v>138</v>
      </c>
      <c r="C69" s="3" t="s">
        <v>139</v>
      </c>
      <c r="D69" s="4" t="s">
        <v>140</v>
      </c>
      <c r="E69" s="5">
        <v>427.0</v>
      </c>
      <c r="F69" s="5">
        <v>150.0</v>
      </c>
      <c r="G69" s="5">
        <v>75.0</v>
      </c>
      <c r="H69" s="6">
        <v>1200000.0</v>
      </c>
      <c r="I69" s="7">
        <v>10000.0</v>
      </c>
    </row>
    <row r="70">
      <c r="A70" s="2" t="s">
        <v>13</v>
      </c>
      <c r="B70" s="3" t="s">
        <v>141</v>
      </c>
      <c r="C70" s="3" t="s">
        <v>142</v>
      </c>
      <c r="D70" s="4" t="s">
        <v>140</v>
      </c>
      <c r="E70" s="5">
        <v>128.0</v>
      </c>
      <c r="F70" s="5">
        <v>140.0</v>
      </c>
      <c r="G70" s="5">
        <v>69.0</v>
      </c>
      <c r="H70" s="6">
        <v>1050000.0</v>
      </c>
      <c r="I70" s="7">
        <v>0.0</v>
      </c>
    </row>
    <row r="71">
      <c r="A71" s="2" t="s">
        <v>16</v>
      </c>
      <c r="B71" s="3" t="s">
        <v>143</v>
      </c>
      <c r="C71" s="3" t="s">
        <v>144</v>
      </c>
      <c r="D71" s="4" t="s">
        <v>140</v>
      </c>
      <c r="E71" s="5">
        <v>214.0</v>
      </c>
      <c r="F71" s="5">
        <v>160.0</v>
      </c>
      <c r="G71" s="5">
        <v>73.0</v>
      </c>
      <c r="H71" s="6">
        <v>1200000.0</v>
      </c>
      <c r="I71" s="7">
        <v>50000.0</v>
      </c>
    </row>
    <row r="72">
      <c r="A72" s="2" t="s">
        <v>19</v>
      </c>
      <c r="B72" s="3" t="s">
        <v>145</v>
      </c>
      <c r="C72" s="3" t="s">
        <v>146</v>
      </c>
      <c r="D72" s="4" t="s">
        <v>140</v>
      </c>
      <c r="E72" s="5">
        <v>306.0</v>
      </c>
      <c r="F72" s="5">
        <v>130.0</v>
      </c>
      <c r="G72" s="5">
        <v>63.0</v>
      </c>
      <c r="H72" s="6">
        <v>975000.0</v>
      </c>
      <c r="I72" s="7">
        <v>40000.0</v>
      </c>
    </row>
    <row r="73">
      <c r="A73" s="2" t="s">
        <v>9</v>
      </c>
      <c r="B73" s="3" t="s">
        <v>147</v>
      </c>
      <c r="C73" s="3" t="s">
        <v>148</v>
      </c>
      <c r="D73" s="4" t="s">
        <v>149</v>
      </c>
      <c r="E73" s="5">
        <v>429.0</v>
      </c>
      <c r="F73" s="5">
        <v>120.0</v>
      </c>
      <c r="G73" s="5">
        <v>65.0</v>
      </c>
      <c r="H73" s="6">
        <v>1.56E7</v>
      </c>
      <c r="I73" s="7">
        <v>0.0</v>
      </c>
    </row>
    <row r="74">
      <c r="A74" s="2" t="s">
        <v>13</v>
      </c>
      <c r="B74" s="3" t="s">
        <v>150</v>
      </c>
      <c r="C74" s="3" t="s">
        <v>151</v>
      </c>
      <c r="D74" s="4" t="s">
        <v>149</v>
      </c>
      <c r="E74" s="5">
        <v>130.0</v>
      </c>
      <c r="F74" s="5">
        <v>110.0</v>
      </c>
      <c r="G74" s="5">
        <v>60.0</v>
      </c>
      <c r="H74" s="6">
        <v>1320000.0</v>
      </c>
      <c r="I74" s="7">
        <v>0.0</v>
      </c>
    </row>
    <row r="75">
      <c r="A75" s="2" t="s">
        <v>16</v>
      </c>
      <c r="B75" s="3" t="s">
        <v>152</v>
      </c>
      <c r="C75" s="3" t="s">
        <v>153</v>
      </c>
      <c r="D75" s="4" t="s">
        <v>149</v>
      </c>
      <c r="E75" s="5">
        <v>215.0</v>
      </c>
      <c r="F75" s="5">
        <v>130.0</v>
      </c>
      <c r="G75" s="5">
        <v>70.0</v>
      </c>
      <c r="H75" s="6">
        <v>1820000.0</v>
      </c>
      <c r="I75" s="7">
        <v>0.0</v>
      </c>
    </row>
    <row r="76">
      <c r="A76" s="2" t="s">
        <v>19</v>
      </c>
      <c r="B76" s="3" t="s">
        <v>154</v>
      </c>
      <c r="C76" s="3" t="s">
        <v>155</v>
      </c>
      <c r="D76" s="4" t="s">
        <v>149</v>
      </c>
      <c r="E76" s="5">
        <v>305.0</v>
      </c>
      <c r="F76" s="5">
        <v>100.0</v>
      </c>
      <c r="G76" s="5">
        <v>55.0</v>
      </c>
      <c r="H76" s="6">
        <v>1210000.0</v>
      </c>
      <c r="I76" s="7">
        <v>0.0</v>
      </c>
    </row>
    <row r="77">
      <c r="A77" s="2" t="s">
        <v>9</v>
      </c>
      <c r="B77" s="3" t="s">
        <v>156</v>
      </c>
      <c r="C77" s="3" t="s">
        <v>157</v>
      </c>
      <c r="D77" s="4" t="s">
        <v>158</v>
      </c>
      <c r="E77" s="5">
        <v>421.0</v>
      </c>
      <c r="F77" s="5">
        <v>80.0</v>
      </c>
      <c r="G77" s="5">
        <v>5.0</v>
      </c>
      <c r="H77" s="6">
        <v>80000.0</v>
      </c>
      <c r="I77" s="7">
        <v>0.0</v>
      </c>
    </row>
    <row r="78">
      <c r="A78" s="2" t="s">
        <v>13</v>
      </c>
      <c r="B78" s="3" t="s">
        <v>159</v>
      </c>
      <c r="C78" s="3" t="s">
        <v>160</v>
      </c>
      <c r="D78" s="4" t="s">
        <v>158</v>
      </c>
      <c r="E78" s="5">
        <v>122.0</v>
      </c>
      <c r="F78" s="5">
        <v>70.0</v>
      </c>
      <c r="G78" s="5">
        <v>10.0</v>
      </c>
      <c r="H78" s="6">
        <v>110000.0</v>
      </c>
      <c r="I78" s="7">
        <v>0.0</v>
      </c>
    </row>
    <row r="79">
      <c r="A79" s="2" t="s">
        <v>16</v>
      </c>
      <c r="B79" s="3" t="s">
        <v>161</v>
      </c>
      <c r="C79" s="3" t="s">
        <v>162</v>
      </c>
      <c r="D79" s="4" t="s">
        <v>158</v>
      </c>
      <c r="E79" s="5">
        <v>211.0</v>
      </c>
      <c r="F79" s="5">
        <v>90.0</v>
      </c>
      <c r="G79" s="5">
        <v>20.0</v>
      </c>
      <c r="H79" s="6">
        <v>180000.0</v>
      </c>
      <c r="I79" s="7">
        <v>0.0</v>
      </c>
    </row>
    <row r="80">
      <c r="A80" s="21" t="s">
        <v>19</v>
      </c>
      <c r="B80" s="22" t="s">
        <v>163</v>
      </c>
      <c r="C80" s="22" t="s">
        <v>164</v>
      </c>
      <c r="D80" s="23" t="s">
        <v>158</v>
      </c>
      <c r="E80" s="24">
        <v>309.0</v>
      </c>
      <c r="F80" s="25">
        <v>60.0</v>
      </c>
      <c r="G80" s="25">
        <v>2.0</v>
      </c>
      <c r="H80" s="26">
        <v>45000.0</v>
      </c>
      <c r="I80" s="27">
        <v>0.0</v>
      </c>
    </row>
    <row r="81">
      <c r="A81" s="28"/>
      <c r="B81" s="28"/>
      <c r="C81" s="28"/>
      <c r="D81" s="28"/>
      <c r="E81" s="28"/>
      <c r="F81" s="29"/>
      <c r="G81" s="29"/>
      <c r="H81" s="28"/>
      <c r="I81" s="28"/>
      <c r="J81" s="28"/>
      <c r="K81" s="28"/>
      <c r="L81" s="28"/>
      <c r="M81" s="28"/>
    </row>
    <row r="82">
      <c r="A82" s="28"/>
      <c r="B82" s="28"/>
      <c r="C82" s="28"/>
      <c r="D82" s="28"/>
      <c r="E82" s="28"/>
      <c r="F82" s="29"/>
      <c r="G82" s="29"/>
      <c r="H82" s="28"/>
      <c r="I82" s="30"/>
      <c r="J82" s="30"/>
      <c r="K82" s="30"/>
      <c r="L82" s="30"/>
      <c r="M82" s="30"/>
    </row>
    <row r="83">
      <c r="A83" s="28"/>
      <c r="B83" s="28"/>
      <c r="C83" s="28"/>
      <c r="D83" s="28"/>
      <c r="E83" s="28"/>
      <c r="F83" s="29"/>
      <c r="G83" s="29"/>
      <c r="H83" s="28"/>
      <c r="I83" s="30"/>
      <c r="J83" s="30"/>
      <c r="K83" s="30"/>
      <c r="L83" s="30"/>
      <c r="M83" s="30"/>
    </row>
    <row r="84">
      <c r="A84" s="31"/>
      <c r="B84" s="31"/>
      <c r="C84" s="31"/>
      <c r="D84" s="28"/>
      <c r="E84" s="31"/>
      <c r="F84" s="28"/>
      <c r="G84" s="32"/>
      <c r="H84" s="28"/>
      <c r="I84" s="28"/>
      <c r="J84" s="28"/>
      <c r="K84" s="28"/>
      <c r="L84" s="28"/>
      <c r="M84" s="28"/>
    </row>
    <row r="85">
      <c r="A85" s="31"/>
      <c r="B85" s="31"/>
      <c r="C85" s="31"/>
      <c r="D85" s="28"/>
      <c r="E85" s="31"/>
      <c r="F85" s="28"/>
      <c r="G85" s="32"/>
      <c r="H85" s="28"/>
      <c r="I85" s="28"/>
      <c r="J85" s="28"/>
      <c r="K85" s="28"/>
      <c r="L85" s="28"/>
      <c r="M85" s="28"/>
    </row>
    <row r="86">
      <c r="A86" s="31"/>
      <c r="B86" s="31"/>
      <c r="C86" s="31"/>
      <c r="D86" s="28"/>
      <c r="E86" s="31"/>
      <c r="F86" s="28"/>
      <c r="G86" s="32"/>
      <c r="H86" s="28"/>
      <c r="I86" s="28"/>
      <c r="J86" s="28"/>
      <c r="K86" s="28"/>
      <c r="L86" s="28"/>
      <c r="M86" s="28"/>
    </row>
    <row r="87">
      <c r="A87" s="31"/>
      <c r="B87" s="31"/>
      <c r="C87" s="31"/>
      <c r="D87" s="33"/>
      <c r="E87" s="34"/>
      <c r="F87" s="28"/>
      <c r="G87" s="32"/>
      <c r="H87" s="28"/>
      <c r="I87" s="28"/>
      <c r="J87" s="28"/>
      <c r="K87" s="28"/>
      <c r="L87" s="28"/>
      <c r="M87" s="28"/>
    </row>
    <row r="88">
      <c r="A88" s="31"/>
      <c r="B88" s="31"/>
      <c r="C88" s="31"/>
      <c r="D88" s="28"/>
      <c r="E88" s="31"/>
      <c r="F88" s="28"/>
      <c r="G88" s="32"/>
      <c r="H88" s="28"/>
      <c r="I88" s="28"/>
      <c r="J88" s="28"/>
      <c r="K88" s="28"/>
      <c r="L88" s="28"/>
      <c r="M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</row>
    <row r="90">
      <c r="A90" s="35" t="s">
        <v>0</v>
      </c>
      <c r="B90" s="36" t="s">
        <v>165</v>
      </c>
      <c r="C90" s="36" t="s">
        <v>166</v>
      </c>
      <c r="D90" s="36" t="s">
        <v>167</v>
      </c>
      <c r="E90" s="37" t="s">
        <v>168</v>
      </c>
      <c r="F90" s="36" t="s">
        <v>169</v>
      </c>
      <c r="G90" s="36" t="s">
        <v>170</v>
      </c>
      <c r="H90" s="36" t="s">
        <v>171</v>
      </c>
      <c r="I90" s="36" t="s">
        <v>172</v>
      </c>
    </row>
    <row r="91">
      <c r="A91" s="38" t="s">
        <v>19</v>
      </c>
      <c r="B91" s="39">
        <f>SUMIF(Январь_2025[[#ALL],[Филиал ТЦ]],A91,Январь_2025[[#ALL],[Площадь (м²)]])</f>
        <v>2330</v>
      </c>
      <c r="C91" s="39">
        <f>SUMIFS(Январь_2025[[#ALL],[Площадь (м²)]],Январь_2025[[#ALL],[Филиал ТЦ]],A91,Январь_2025[[#ALL],[Категория]],"&lt;&gt;Пустой")</f>
        <v>1845</v>
      </c>
      <c r="D91" s="40">
        <f>COUNTIFS(Январь_2025[[#ALL],[Филиал ТЦ]],A91,Январь_2025[[#ALL],[Номер помещения]],"&lt;&gt;")</f>
        <v>23</v>
      </c>
      <c r="E91" s="40">
        <f>COUNTIFS(Январь_2025[[#ALL],[Филиал ТЦ]],A91,Январь_2025[[#ALL],[ID арендатора]],"&lt;&gt;")</f>
        <v>20</v>
      </c>
      <c r="F91" s="41">
        <f>SUMIF(Январь_2025[[#ALL],[Филиал ТЦ]],A91,Январь_2025[[#ALL],[Продажи/мес]])</f>
        <v>564</v>
      </c>
      <c r="G91" s="42">
        <f>SUMIF(Январь_2025[[#ALL],[Филиал ТЦ]],A91,Январь_2025[[#ALL],[Выручка (руб/мес)]])</f>
        <v>26254000</v>
      </c>
      <c r="H91" s="42">
        <f>SUMIF(Январь_2025[[#ALL],[Филиал ТЦ]],A91,Январь_2025[[#ALL],[Долг по аренде (руб)]])</f>
        <v>511900</v>
      </c>
      <c r="I91" s="43">
        <f t="shared" ref="I91:I94" si="1">G91/C91</f>
        <v>14229.8103</v>
      </c>
    </row>
    <row r="92">
      <c r="A92" s="38" t="s">
        <v>9</v>
      </c>
      <c r="B92" s="39">
        <f>SUMIF(Январь_2025[[#ALL],[Филиал ТЦ]],A92,Январь_2025[[#ALL],[Площадь (м²)]])</f>
        <v>2176</v>
      </c>
      <c r="C92" s="39">
        <f>SUMIFS(Январь_2025[[#ALL],[Площадь (м²)]],Январь_2025[[#ALL],[Филиал ТЦ]],A92,Январь_2025[[#ALL],[Категория]],"&lt;&gt;Пустой")</f>
        <v>2176</v>
      </c>
      <c r="D92" s="40">
        <f>COUNTIFS(Январь_2025[[#ALL],[Филиал ТЦ]],A92,Январь_2025[[#ALL],[Номер помещения]],"&lt;&gt;")</f>
        <v>18</v>
      </c>
      <c r="E92" s="40">
        <f>COUNTIFS(Январь_2025[[#ALL],[Филиал ТЦ]],A92,Январь_2025[[#ALL],[ID арендатора]],"&lt;&gt;")</f>
        <v>18</v>
      </c>
      <c r="F92" s="41">
        <f>SUMIF(Январь_2025[[#ALL],[Филиал ТЦ]],A92,Январь_2025[[#ALL],[Продажи/мес]])</f>
        <v>568</v>
      </c>
      <c r="G92" s="42">
        <f>SUMIF(Январь_2025[[#ALL],[Филиал ТЦ]],A92,Январь_2025[[#ALL],[Выручка (руб/мес)]])</f>
        <v>41753500</v>
      </c>
      <c r="H92" s="42">
        <f>SUMIF(Январь_2025[[#ALL],[Филиал ТЦ]],A92,Январь_2025[[#ALL],[Долг по аренде (руб)]])</f>
        <v>684670</v>
      </c>
      <c r="I92" s="43">
        <f t="shared" si="1"/>
        <v>19188.18934</v>
      </c>
    </row>
    <row r="93">
      <c r="A93" s="38" t="s">
        <v>13</v>
      </c>
      <c r="B93" s="39">
        <f>SUMIF(Январь_2025[[#ALL],[Филиал ТЦ]],A93,Январь_2025[[#ALL],[Площадь (м²)]])</f>
        <v>1855</v>
      </c>
      <c r="C93" s="39">
        <f>SUMIFS(Январь_2025[[#ALL],[Площадь (м²)]],Январь_2025[[#ALL],[Филиал ТЦ]],A93,Январь_2025[[#ALL],[Категория]],"&lt;&gt;Пустой")</f>
        <v>1855</v>
      </c>
      <c r="D93" s="40">
        <f>COUNTIFS(Январь_2025[[#ALL],[Филиал ТЦ]],A93,Январь_2025[[#ALL],[Номер помещения]],"&lt;&gt;")</f>
        <v>18</v>
      </c>
      <c r="E93" s="40">
        <f>COUNTIFS(Январь_2025[[#ALL],[Филиал ТЦ]],A93,Январь_2025[[#ALL],[ID арендатора]],"&lt;&gt;")</f>
        <v>18</v>
      </c>
      <c r="F93" s="41">
        <f>SUMIF(Январь_2025[[#ALL],[Филиал ТЦ]],A93,Январь_2025[[#ALL],[Продажи/мес]])</f>
        <v>524</v>
      </c>
      <c r="G93" s="42">
        <f>SUMIF(Январь_2025[[#ALL],[Филиал ТЦ]],A93,Январь_2025[[#ALL],[Выручка (руб/мес)]])</f>
        <v>23960000</v>
      </c>
      <c r="H93" s="42">
        <f>SUMIF(Январь_2025[[#ALL],[Филиал ТЦ]],A93,Январь_2025[[#ALL],[Долг по аренде (руб)]])</f>
        <v>470180</v>
      </c>
      <c r="I93" s="43">
        <f t="shared" si="1"/>
        <v>12916.44205</v>
      </c>
    </row>
    <row r="94">
      <c r="A94" s="44" t="s">
        <v>16</v>
      </c>
      <c r="B94" s="45">
        <f>SUMIF(Январь_2025[[#ALL],[Филиал ТЦ]],A94,Январь_2025[[#ALL],[Площадь (м²)]])</f>
        <v>3112</v>
      </c>
      <c r="C94" s="45">
        <f>SUMIFS(Январь_2025[[#ALL],[Площадь (м²)]],Январь_2025[[#ALL],[Филиал ТЦ]],A94,Январь_2025[[#ALL],[Категория]],"&lt;&gt;Пустой")</f>
        <v>3112</v>
      </c>
      <c r="D94" s="46">
        <f>COUNTIFS(Январь_2025[[#ALL],[Филиал ТЦ]],A94,Январь_2025[[#ALL],[Номер помещения]],"&lt;&gt;")</f>
        <v>20</v>
      </c>
      <c r="E94" s="46">
        <f>COUNTIFS(Январь_2025[[#ALL],[Филиал ТЦ]],A94,Январь_2025[[#ALL],[ID арендатора]],"&lt;&gt;")</f>
        <v>20</v>
      </c>
      <c r="F94" s="47">
        <f>SUMIF(Январь_2025[[#ALL],[Филиал ТЦ]],A94,Январь_2025[[#ALL],[Продажи/мес]])</f>
        <v>714</v>
      </c>
      <c r="G94" s="48">
        <f>SUMIF(Январь_2025[[#ALL],[Филиал ТЦ]],A94,Январь_2025[[#ALL],[Выручка (руб/мес)]])</f>
        <v>40045000</v>
      </c>
      <c r="H94" s="48">
        <f>SUMIF(Январь_2025[[#ALL],[Филиал ТЦ]],A94,Январь_2025[[#ALL],[Долг по аренде (руб)]])</f>
        <v>1192460</v>
      </c>
      <c r="I94" s="49">
        <f t="shared" si="1"/>
        <v>12867.93059</v>
      </c>
    </row>
    <row r="95">
      <c r="A95" s="31"/>
      <c r="B95" s="31"/>
      <c r="C95" s="31"/>
      <c r="D95" s="28"/>
      <c r="E95" s="31"/>
      <c r="F95" s="28"/>
      <c r="G95" s="32"/>
      <c r="H95" s="28"/>
      <c r="I95" s="28"/>
      <c r="J95" s="28"/>
      <c r="K95" s="28"/>
      <c r="L95" s="28"/>
      <c r="M95" s="28"/>
    </row>
    <row r="96">
      <c r="A96" s="31"/>
      <c r="B96" s="31"/>
      <c r="C96" s="31"/>
      <c r="D96" s="28"/>
      <c r="E96" s="31"/>
      <c r="F96" s="28"/>
      <c r="G96" s="32"/>
      <c r="H96" s="28"/>
      <c r="I96" s="28"/>
      <c r="J96" s="28"/>
      <c r="K96" s="28"/>
      <c r="L96" s="28"/>
      <c r="M96" s="28"/>
    </row>
    <row r="97">
      <c r="A97" s="31"/>
      <c r="B97" s="31"/>
      <c r="C97" s="31"/>
      <c r="D97" s="28"/>
      <c r="E97" s="31"/>
      <c r="F97" s="28"/>
      <c r="G97" s="32"/>
      <c r="H97" s="28"/>
      <c r="I97" s="28"/>
      <c r="J97" s="28"/>
      <c r="K97" s="28"/>
      <c r="L97" s="28"/>
      <c r="M97" s="28"/>
    </row>
    <row r="98" ht="21.0" customHeight="1">
      <c r="A98" s="50"/>
      <c r="B98" s="51" t="s">
        <v>16</v>
      </c>
      <c r="E98" s="51" t="s">
        <v>9</v>
      </c>
      <c r="H98" s="51" t="s">
        <v>13</v>
      </c>
      <c r="K98" s="51" t="s">
        <v>19</v>
      </c>
    </row>
    <row r="99" ht="21.0" customHeight="1">
      <c r="A99" s="52"/>
      <c r="B99" s="53" t="s">
        <v>173</v>
      </c>
      <c r="C99" s="53" t="s">
        <v>174</v>
      </c>
      <c r="D99" s="54" t="s">
        <v>175</v>
      </c>
      <c r="E99" s="53" t="s">
        <v>176</v>
      </c>
      <c r="F99" s="53" t="s">
        <v>177</v>
      </c>
      <c r="G99" s="54" t="s">
        <v>175</v>
      </c>
      <c r="H99" s="55" t="s">
        <v>176</v>
      </c>
      <c r="I99" s="55" t="s">
        <v>177</v>
      </c>
      <c r="J99" s="56" t="s">
        <v>175</v>
      </c>
      <c r="K99" s="55" t="s">
        <v>176</v>
      </c>
      <c r="L99" s="55" t="s">
        <v>177</v>
      </c>
      <c r="M99" s="56" t="s">
        <v>175</v>
      </c>
    </row>
    <row r="100" ht="21.0" customHeight="1">
      <c r="A100" s="57" t="s">
        <v>65</v>
      </c>
      <c r="B100" s="58">
        <f>SUMIFS(Январь_2025[[#ALL],[Площадь (м²)]],Январь_2025[[#ALL],[Филиал ТЦ]],B$98,Январь_2025[[#ALL],[Категория]],$A100)/SUMIFS(Январь_2025[[#ALL],[Площадь (м²)]],Январь_2025[[#ALL],[Филиал ТЦ]],B$98)</f>
        <v>0.1446015424</v>
      </c>
      <c r="C100" s="59">
        <f>IF(B100&gt;0, SUMIFS(Январь_2025[[#ALL],[Выручка (руб/мес)]],Январь_2025[[#ALL],[Филиал ТЦ]],B$98,Январь_2025[[#ALL],[Категория]],$A100)/SUMIFS(Январь_2025[[#ALL],[Продажи/мес]],Январь_2025[[#ALL],[Филиал ТЦ]],B$98,Январь_2025[[#ALL],[Категория]],$A100), "нет категории")</f>
        <v>204594.5946</v>
      </c>
      <c r="D100" s="60">
        <f>IF(B100&gt;0, SUMIFS(Январь_2025[[#ALL],[Выручка (руб/мес)]],Январь_2025[[#ALL],[Филиал ТЦ]],B$98,Январь_2025[[#ALL],[Категория]],$A100)/SUMIFS(Январь_2025[[#ALL],[Площадь (м²)]],Январь_2025[[#ALL],[Филиал ТЦ]],B$98,Январь_2025[[#ALL],[Категория]],$A100), "нет категории")</f>
        <v>16822.22222</v>
      </c>
      <c r="E100" s="58">
        <f>SUMIFS(Январь_2025[[#ALL],[Площадь (м²)]],Январь_2025[[#ALL],[Филиал ТЦ]],E$98,Январь_2025[[#ALL],[Категория]],$A100)/SUMIFS(Январь_2025[[#ALL],[Площадь (м²)]],Январь_2025[[#ALL],[Филиал ТЦ]],E$98)</f>
        <v>0.1659007353</v>
      </c>
      <c r="F100" s="59">
        <f>IF(E100&gt;0, SUMIFS(Январь_2025[[#ALL],[Выручка (руб/мес)]],Январь_2025[[#ALL],[Филиал ТЦ]],E$98,Январь_2025[[#ALL],[Категория]],$A100)/SUMIFS(Январь_2025[[#ALL],[Продажи/мес]],Январь_2025[[#ALL],[Филиал ТЦ]],E$98,Январь_2025[[#ALL],[Категория]],$A100), "нет категории")</f>
        <v>156828.125</v>
      </c>
      <c r="G100" s="60">
        <f>IF(E100&gt;0,SUMIFS(Январь_2025[[#ALL],[Выручка (руб/мес)]],Январь_2025[[#ALL],[Филиал ТЦ]],E$98,Январь_2025[[#ALL],[Категория]],$A100)/SUMIFS(Январь_2025[[#ALL],[Площадь (м²)]],Январь_2025[[#ALL],[Филиал ТЦ]],E$98,Январь_2025[[#ALL],[Категория]],$A100), "нет категории")</f>
        <v>13901.66205</v>
      </c>
      <c r="H100" s="58">
        <f>SUMIFS(Январь_2025[[#ALL],[Площадь (м²)]],Январь_2025[[#ALL],[Филиал ТЦ]],H$98,Январь_2025[[#ALL],[Категория]],$A100)/SUMIFS(Январь_2025[[#ALL],[Площадь (м²)]],Январь_2025[[#ALL],[Филиал ТЦ]],H$98)</f>
        <v>0.1725067385</v>
      </c>
      <c r="I100" s="59">
        <f>IF(H100&gt;0, SUMIFS(Январь_2025[[#ALL],[Выручка (руб/мес)]],Январь_2025[[#ALL],[Филиал ТЦ]],H$98,Январь_2025[[#ALL],[Категория]],$A100)/SUMIFS(Январь_2025[[#ALL],[Продажи/мес]],Январь_2025[[#ALL],[Филиал ТЦ]],H$98,Январь_2025[[#ALL],[Категория]],$A100), "нет категории")</f>
        <v>223448.2759</v>
      </c>
      <c r="J100" s="60">
        <f>IF(H100&gt;0, SUMIFS(Январь_2025[[#ALL],[Выручка (руб/мес)]],Январь_2025[[#ALL],[Филиал ТЦ]],H$98,Январь_2025[[#ALL],[Категория]],$A100)/SUMIFS(Январь_2025[[#ALL],[Площадь (м²)]],Январь_2025[[#ALL],[Филиал ТЦ]],H$98,Январь_2025[[#ALL],[Категория]],$A100), "нет категории")</f>
        <v>20250</v>
      </c>
      <c r="K100" s="58">
        <f>SUMIFS(Январь_2025[[#ALL],[Площадь (м²)]],Январь_2025[[#ALL],[Филиал ТЦ]],K$98,Январь_2025[[#ALL],[Категория]],$A100)/SUMIFS(Январь_2025[[#ALL],[Площадь (м²)]],Январь_2025[[#ALL],[Филиал ТЦ]],K$98)</f>
        <v>0.1459227468</v>
      </c>
      <c r="L100" s="59">
        <f>IF(K100&gt;0, SUMIFS(Январь_2025[[#ALL],[Выручка (руб/мес)]],Январь_2025[[#ALL],[Филиал ТЦ]],K$98,Январь_2025[[#ALL],[Категория]],$A100)/SUMIFS(Январь_2025[[#ALL],[Продажи/мес]],Январь_2025[[#ALL],[Филиал ТЦ]],K$98,Январь_2025[[#ALL],[Категория]],$A100), "нет категории")</f>
        <v>191489.3617</v>
      </c>
      <c r="M100" s="60">
        <f>IF(K100&gt;0, SUMIFS(Январь_2025[[#ALL],[Выручка (руб/мес)]],Январь_2025[[#ALL],[Филиал ТЦ]],K$98,Январь_2025[[#ALL],[Категория]],$A100)/SUMIFS(Январь_2025[[#ALL],[Площадь (м²)]],Январь_2025[[#ALL],[Филиал ТЦ]],K$98,Январь_2025[[#ALL],[Категория]],$A100), "нет категории")</f>
        <v>26470.58824</v>
      </c>
    </row>
    <row r="101" ht="21.0" customHeight="1">
      <c r="A101" s="61" t="s">
        <v>93</v>
      </c>
      <c r="B101" s="62">
        <f>SUMIFS(Январь_2025[[#ALL],[Площадь (м²)]],Январь_2025[[#ALL],[Филиал ТЦ]],B$98,Январь_2025[[#ALL],[Категория]],$A101)/SUMIFS(Январь_2025[[#ALL],[Площадь (м²)]],Январь_2025[[#ALL],[Филиал ТЦ]],B$98)</f>
        <v>0.2008354756</v>
      </c>
      <c r="C101" s="63">
        <f>IF(B101&gt;0, SUMIFS(Январь_2025[[#ALL],[Выручка (руб/мес)]],Январь_2025[[#ALL],[Филиал ТЦ]],B$98,Январь_2025[[#ALL],[Категория]],$A101)/SUMIFS(Январь_2025[[#ALL],[Продажи/мес]],Январь_2025[[#ALL],[Филиал ТЦ]],B$98,Январь_2025[[#ALL],[Категория]],$A101), "нет категории")</f>
        <v>68156.02837</v>
      </c>
      <c r="D101" s="64">
        <f>IF(B101&gt;0, SUMIFS(Январь_2025[[#ALL],[Выручка (руб/мес)]],Январь_2025[[#ALL],[Филиал ТЦ]],B$98,Январь_2025[[#ALL],[Категория]],$A101)/SUMIFS(Январь_2025[[#ALL],[Площадь (м²)]],Январь_2025[[#ALL],[Филиал ТЦ]],B$98,Январь_2025[[#ALL],[Категория]],$A101), "нет категории")</f>
        <v>15376</v>
      </c>
      <c r="E101" s="62">
        <f>SUMIFS(Январь_2025[[#ALL],[Площадь (м²)]],Январь_2025[[#ALL],[Филиал ТЦ]],E$98,Январь_2025[[#ALL],[Категория]],$A101)/SUMIFS(Январь_2025[[#ALL],[Площадь (м²)]],Январь_2025[[#ALL],[Филиал ТЦ]],E$98)</f>
        <v>0.1930147059</v>
      </c>
      <c r="F101" s="63">
        <f>IF(E101&gt;0, SUMIFS(Январь_2025[[#ALL],[Выручка (руб/мес)]],Январь_2025[[#ALL],[Филиал ТЦ]],E$98,Январь_2025[[#ALL],[Категория]],$A101)/SUMIFS(Январь_2025[[#ALL],[Продажи/мес]],Январь_2025[[#ALL],[Филиал ТЦ]],E$98,Январь_2025[[#ALL],[Категория]],$A101), "нет категории")</f>
        <v>75590.55118</v>
      </c>
      <c r="G101" s="64">
        <f>IF(E101&gt;0,SUMIFS(Январь_2025[[#ALL],[Выручка (руб/мес)]],Январь_2025[[#ALL],[Филиал ТЦ]],E$98,Январь_2025[[#ALL],[Категория]],$A101)/SUMIFS(Январь_2025[[#ALL],[Площадь (м²)]],Январь_2025[[#ALL],[Филиал ТЦ]],E$98,Январь_2025[[#ALL],[Категория]],$A101), "нет категории")</f>
        <v>22857.14286</v>
      </c>
      <c r="H101" s="62">
        <f>SUMIFS(Январь_2025[[#ALL],[Площадь (м²)]],Январь_2025[[#ALL],[Филиал ТЦ]],H$98,Январь_2025[[#ALL],[Категория]],$A101)/SUMIFS(Январь_2025[[#ALL],[Площадь (м²)]],Январь_2025[[#ALL],[Филиал ТЦ]],H$98)</f>
        <v>0.269541779</v>
      </c>
      <c r="I101" s="63">
        <f>IF(H101&gt;0, SUMIFS(Январь_2025[[#ALL],[Выручка (руб/мес)]],Январь_2025[[#ALL],[Филиал ТЦ]],H$98,Январь_2025[[#ALL],[Категория]],$A101)/SUMIFS(Январь_2025[[#ALL],[Продажи/мес]],Январь_2025[[#ALL],[Филиал ТЦ]],H$98,Январь_2025[[#ALL],[Категория]],$A101), "нет категории")</f>
        <v>54598.54015</v>
      </c>
      <c r="J101" s="64">
        <f>IF(H101&gt;0, SUMIFS(Январь_2025[[#ALL],[Выручка (руб/мес)]],Январь_2025[[#ALL],[Филиал ТЦ]],H$98,Январь_2025[[#ALL],[Категория]],$A101)/SUMIFS(Январь_2025[[#ALL],[Площадь (м²)]],Январь_2025[[#ALL],[Филиал ТЦ]],H$98,Январь_2025[[#ALL],[Категория]],$A101), "нет категории")</f>
        <v>14960</v>
      </c>
      <c r="K101" s="62">
        <f>SUMIFS(Январь_2025[[#ALL],[Площадь (м²)]],Январь_2025[[#ALL],[Филиал ТЦ]],K$98,Январь_2025[[#ALL],[Категория]],$A101)/SUMIFS(Январь_2025[[#ALL],[Площадь (м²)]],Январь_2025[[#ALL],[Филиал ТЦ]],K$98)</f>
        <v>0.1995708155</v>
      </c>
      <c r="L101" s="63">
        <f>IF(K101&gt;0, SUMIFS(Январь_2025[[#ALL],[Выручка (руб/мес)]],Январь_2025[[#ALL],[Филиал ТЦ]],K$98,Январь_2025[[#ALL],[Категория]],$A101)/SUMIFS(Январь_2025[[#ALL],[Продажи/мес]],Январь_2025[[#ALL],[Филиал ТЦ]],K$98,Январь_2025[[#ALL],[Категория]],$A101), "нет категории")</f>
        <v>42941.17647</v>
      </c>
      <c r="M101" s="64">
        <f>IF(K101&gt;0, SUMIFS(Январь_2025[[#ALL],[Выручка (руб/мес)]],Январь_2025[[#ALL],[Филиал ТЦ]],K$98,Январь_2025[[#ALL],[Категория]],$A101)/SUMIFS(Январь_2025[[#ALL],[Площадь (м²)]],Январь_2025[[#ALL],[Филиал ТЦ]],K$98,Январь_2025[[#ALL],[Категория]],$A101), "нет категории")</f>
        <v>12559.13978</v>
      </c>
    </row>
    <row r="102" ht="21.0" customHeight="1">
      <c r="A102" s="61" t="s">
        <v>140</v>
      </c>
      <c r="B102" s="62">
        <f>SUMIFS(Январь_2025[[#ALL],[Площадь (м²)]],Январь_2025[[#ALL],[Филиал ТЦ]],B$98,Январь_2025[[#ALL],[Категория]],$A102)/SUMIFS(Январь_2025[[#ALL],[Площадь (м²)]],Январь_2025[[#ALL],[Филиал ТЦ]],B$98)</f>
        <v>0.05141388175</v>
      </c>
      <c r="C102" s="63">
        <f>IF(B102&gt;0, SUMIFS(Январь_2025[[#ALL],[Выручка (руб/мес)]],Январь_2025[[#ALL],[Филиал ТЦ]],B$98,Январь_2025[[#ALL],[Категория]],$A102)/SUMIFS(Январь_2025[[#ALL],[Продажи/мес]],Январь_2025[[#ALL],[Филиал ТЦ]],B$98,Январь_2025[[#ALL],[Категория]],$A102), "нет категории")</f>
        <v>16438.35616</v>
      </c>
      <c r="D102" s="64">
        <f>IF(B102&gt;0, SUMIFS(Январь_2025[[#ALL],[Выручка (руб/мес)]],Январь_2025[[#ALL],[Филиал ТЦ]],B$98,Январь_2025[[#ALL],[Категория]],$A102)/SUMIFS(Январь_2025[[#ALL],[Площадь (м²)]],Январь_2025[[#ALL],[Филиал ТЦ]],B$98,Январь_2025[[#ALL],[Категория]],$A102), "нет категории")</f>
        <v>7500</v>
      </c>
      <c r="E102" s="62">
        <f>SUMIFS(Январь_2025[[#ALL],[Площадь (м²)]],Январь_2025[[#ALL],[Филиал ТЦ]],E$98,Январь_2025[[#ALL],[Категория]],$A102)/SUMIFS(Январь_2025[[#ALL],[Площадь (м²)]],Январь_2025[[#ALL],[Филиал ТЦ]],E$98)</f>
        <v>0.06893382353</v>
      </c>
      <c r="F102" s="63">
        <f>IF(E102&gt;0, SUMIFS(Январь_2025[[#ALL],[Выручка (руб/мес)]],Январь_2025[[#ALL],[Филиал ТЦ]],E$98,Январь_2025[[#ALL],[Категория]],$A102)/SUMIFS(Январь_2025[[#ALL],[Продажи/мес]],Январь_2025[[#ALL],[Филиал ТЦ]],E$98,Январь_2025[[#ALL],[Категория]],$A102), "нет категории")</f>
        <v>16000</v>
      </c>
      <c r="G102" s="64">
        <f>IF(E102&gt;0,SUMIFS(Январь_2025[[#ALL],[Выручка (руб/мес)]],Январь_2025[[#ALL],[Филиал ТЦ]],E$98,Январь_2025[[#ALL],[Категория]],$A102)/SUMIFS(Январь_2025[[#ALL],[Площадь (м²)]],Январь_2025[[#ALL],[Филиал ТЦ]],E$98,Январь_2025[[#ALL],[Категория]],$A102), "нет категории")</f>
        <v>8000</v>
      </c>
      <c r="H102" s="62">
        <f>SUMIFS(Январь_2025[[#ALL],[Площадь (м²)]],Январь_2025[[#ALL],[Филиал ТЦ]],H$98,Январь_2025[[#ALL],[Категория]],$A102)/SUMIFS(Январь_2025[[#ALL],[Площадь (м²)]],Январь_2025[[#ALL],[Филиал ТЦ]],H$98)</f>
        <v>0.07547169811</v>
      </c>
      <c r="I102" s="63">
        <f>IF(H102&gt;0, SUMIFS(Январь_2025[[#ALL],[Выручка (руб/мес)]],Январь_2025[[#ALL],[Филиал ТЦ]],H$98,Январь_2025[[#ALL],[Категория]],$A102)/SUMIFS(Январь_2025[[#ALL],[Продажи/мес]],Январь_2025[[#ALL],[Филиал ТЦ]],H$98,Январь_2025[[#ALL],[Категория]],$A102), "нет категории")</f>
        <v>15217.3913</v>
      </c>
      <c r="J102" s="64">
        <f>IF(H102&gt;0, SUMIFS(Январь_2025[[#ALL],[Выручка (руб/мес)]],Январь_2025[[#ALL],[Филиал ТЦ]],H$98,Январь_2025[[#ALL],[Категория]],$A102)/SUMIFS(Январь_2025[[#ALL],[Площадь (м²)]],Январь_2025[[#ALL],[Филиал ТЦ]],H$98,Январь_2025[[#ALL],[Категория]],$A102), "нет категории")</f>
        <v>7500</v>
      </c>
      <c r="K102" s="62">
        <f>SUMIFS(Январь_2025[[#ALL],[Площадь (м²)]],Январь_2025[[#ALL],[Филиал ТЦ]],K$98,Январь_2025[[#ALL],[Категория]],$A102)/SUMIFS(Январь_2025[[#ALL],[Площадь (м²)]],Январь_2025[[#ALL],[Филиал ТЦ]],K$98)</f>
        <v>0.05579399142</v>
      </c>
      <c r="L102" s="63">
        <f>IF(K102&gt;0, SUMIFS(Январь_2025[[#ALL],[Выручка (руб/мес)]],Январь_2025[[#ALL],[Филиал ТЦ]],K$98,Январь_2025[[#ALL],[Категория]],$A102)/SUMIFS(Январь_2025[[#ALL],[Продажи/мес]],Январь_2025[[#ALL],[Филиал ТЦ]],K$98,Январь_2025[[#ALL],[Категория]],$A102), "нет категории")</f>
        <v>15476.19048</v>
      </c>
      <c r="M102" s="64">
        <f>IF(K102&gt;0, SUMIFS(Январь_2025[[#ALL],[Выручка (руб/мес)]],Январь_2025[[#ALL],[Филиал ТЦ]],K$98,Январь_2025[[#ALL],[Категория]],$A102)/SUMIFS(Январь_2025[[#ALL],[Площадь (м²)]],Январь_2025[[#ALL],[Филиал ТЦ]],K$98,Январь_2025[[#ALL],[Категория]],$A102), "нет категории")</f>
        <v>7500</v>
      </c>
    </row>
    <row r="103" ht="21.0" customHeight="1">
      <c r="A103" s="61" t="s">
        <v>130</v>
      </c>
      <c r="B103" s="62">
        <f>SUMIFS(Январь_2025[[#ALL],[Площадь (м²)]],Январь_2025[[#ALL],[Филиал ТЦ]],B$98,Январь_2025[[#ALL],[Категория]],$A103)/SUMIFS(Январь_2025[[#ALL],[Площадь (м²)]],Январь_2025[[#ALL],[Филиал ТЦ]],B$98)</f>
        <v>0.0353470437</v>
      </c>
      <c r="C103" s="63">
        <f>IF(B103&gt;0, SUMIFS(Январь_2025[[#ALL],[Выручка (руб/мес)]],Январь_2025[[#ALL],[Филиал ТЦ]],B$98,Январь_2025[[#ALL],[Категория]],$A103)/SUMIFS(Январь_2025[[#ALL],[Продажи/мес]],Январь_2025[[#ALL],[Филиал ТЦ]],B$98,Январь_2025[[#ALL],[Категория]],$A103), "нет категории")</f>
        <v>10576.92308</v>
      </c>
      <c r="D103" s="64">
        <f>IF(B103&gt;0, SUMIFS(Январь_2025[[#ALL],[Выручка (руб/мес)]],Январь_2025[[#ALL],[Филиал ТЦ]],B$98,Январь_2025[[#ALL],[Категория]],$A103)/SUMIFS(Январь_2025[[#ALL],[Площадь (м²)]],Январь_2025[[#ALL],[Филиал ТЦ]],B$98,Январь_2025[[#ALL],[Категория]],$A103), "нет категории")</f>
        <v>5000</v>
      </c>
      <c r="E103" s="62">
        <f>SUMIFS(Январь_2025[[#ALL],[Площадь (м²)]],Январь_2025[[#ALL],[Филиал ТЦ]],E$98,Январь_2025[[#ALL],[Категория]],$A103)/SUMIFS(Январь_2025[[#ALL],[Площадь (м²)]],Январь_2025[[#ALL],[Филиал ТЦ]],E$98)</f>
        <v>0.04595588235</v>
      </c>
      <c r="F103" s="63">
        <f>IF(E103&gt;0, SUMIFS(Январь_2025[[#ALL],[Выручка (руб/мес)]],Январь_2025[[#ALL],[Филиал ТЦ]],E$98,Январь_2025[[#ALL],[Категория]],$A103)/SUMIFS(Январь_2025[[#ALL],[Продажи/мес]],Январь_2025[[#ALL],[Филиал ТЦ]],E$98,Январь_2025[[#ALL],[Категория]],$A103), "нет категории")</f>
        <v>11785.71429</v>
      </c>
      <c r="G103" s="64">
        <f>IF(E103&gt;0,SUMIFS(Январь_2025[[#ALL],[Выручка (руб/мес)]],Январь_2025[[#ALL],[Филиал ТЦ]],E$98,Январь_2025[[#ALL],[Категория]],$A103)/SUMIFS(Январь_2025[[#ALL],[Площадь (м²)]],Январь_2025[[#ALL],[Филиал ТЦ]],E$98,Январь_2025[[#ALL],[Категория]],$A103), "нет категории")</f>
        <v>4950</v>
      </c>
      <c r="H103" s="62">
        <f>SUMIFS(Январь_2025[[#ALL],[Площадь (м²)]],Январь_2025[[#ALL],[Филиал ТЦ]],H$98,Январь_2025[[#ALL],[Категория]],$A103)/SUMIFS(Январь_2025[[#ALL],[Площадь (м²)]],Январь_2025[[#ALL],[Филиал ТЦ]],H$98)</f>
        <v>0.04851752022</v>
      </c>
      <c r="I103" s="63">
        <f>IF(H103&gt;0, SUMIFS(Январь_2025[[#ALL],[Выручка (руб/мес)]],Январь_2025[[#ALL],[Филиал ТЦ]],H$98,Январь_2025[[#ALL],[Категория]],$A103)/SUMIFS(Январь_2025[[#ALL],[Продажи/мес]],Январь_2025[[#ALL],[Филиал ТЦ]],H$98,Январь_2025[[#ALL],[Категория]],$A103), "нет категории")</f>
        <v>12571.42857</v>
      </c>
      <c r="J103" s="64">
        <f>IF(H103&gt;0, SUMIFS(Январь_2025[[#ALL],[Выручка (руб/мес)]],Январь_2025[[#ALL],[Филиал ТЦ]],H$98,Январь_2025[[#ALL],[Категория]],$A103)/SUMIFS(Январь_2025[[#ALL],[Площадь (м²)]],Январь_2025[[#ALL],[Филиал ТЦ]],H$98,Январь_2025[[#ALL],[Категория]],$A103), "нет категории")</f>
        <v>4888.888889</v>
      </c>
      <c r="K103" s="62">
        <f>SUMIFS(Январь_2025[[#ALL],[Площадь (м²)]],Январь_2025[[#ALL],[Филиал ТЦ]],K$98,Январь_2025[[#ALL],[Категория]],$A103)/SUMIFS(Январь_2025[[#ALL],[Площадь (м²)]],Январь_2025[[#ALL],[Филиал ТЦ]],K$98)</f>
        <v>0.03433476395</v>
      </c>
      <c r="L103" s="63">
        <f>IF(K103&gt;0, SUMIFS(Январь_2025[[#ALL],[Выручка (руб/мес)]],Январь_2025[[#ALL],[Филиал ТЦ]],K$98,Январь_2025[[#ALL],[Категория]],$A103)/SUMIFS(Январь_2025[[#ALL],[Продажи/мес]],Январь_2025[[#ALL],[Филиал ТЦ]],K$98,Январь_2025[[#ALL],[Категория]],$A103), "нет категории")</f>
        <v>11666.66667</v>
      </c>
      <c r="M103" s="64">
        <f>IF(K103&gt;0, SUMIFS(Январь_2025[[#ALL],[Выручка (руб/мес)]],Январь_2025[[#ALL],[Филиал ТЦ]],K$98,Январь_2025[[#ALL],[Категория]],$A103)/SUMIFS(Январь_2025[[#ALL],[Площадь (м²)]],Январь_2025[[#ALL],[Филиал ТЦ]],K$98,Январь_2025[[#ALL],[Категория]],$A103), "нет категории")</f>
        <v>4812.5</v>
      </c>
    </row>
    <row r="104" ht="21.0" customHeight="1">
      <c r="A104" s="61" t="s">
        <v>24</v>
      </c>
      <c r="B104" s="62">
        <f>SUMIFS(Январь_2025[[#ALL],[Площадь (м²)]],Январь_2025[[#ALL],[Филиал ТЦ]],B$98,Январь_2025[[#ALL],[Категория]],$A104)/SUMIFS(Январь_2025[[#ALL],[Площадь (м²)]],Январь_2025[[#ALL],[Филиал ТЦ]],B$98)</f>
        <v>0.07422879177</v>
      </c>
      <c r="C104" s="63">
        <f>IF(B104&gt;0, SUMIFS(Январь_2025[[#ALL],[Выручка (руб/мес)]],Январь_2025[[#ALL],[Филиал ТЦ]],B$98,Январь_2025[[#ALL],[Категория]],$A104)/SUMIFS(Январь_2025[[#ALL],[Продажи/мес]],Январь_2025[[#ALL],[Филиал ТЦ]],B$98,Январь_2025[[#ALL],[Категория]],$A104), "нет категории")</f>
        <v>74722.22222</v>
      </c>
      <c r="D104" s="64">
        <f>IF(B104&gt;0, SUMIFS(Январь_2025[[#ALL],[Выручка (руб/мес)]],Январь_2025[[#ALL],[Филиал ТЦ]],B$98,Январь_2025[[#ALL],[Категория]],$A104)/SUMIFS(Январь_2025[[#ALL],[Площадь (м²)]],Январь_2025[[#ALL],[Филиал ТЦ]],B$98,Январь_2025[[#ALL],[Категория]],$A104), "нет категории")</f>
        <v>11645.02165</v>
      </c>
      <c r="E104" s="62">
        <f>SUMIFS(Январь_2025[[#ALL],[Площадь (м²)]],Январь_2025[[#ALL],[Филиал ТЦ]],E$98,Январь_2025[[#ALL],[Категория]],$A104)/SUMIFS(Январь_2025[[#ALL],[Площадь (м²)]],Январь_2025[[#ALL],[Филиал ТЦ]],E$98)</f>
        <v>0.08272058824</v>
      </c>
      <c r="F104" s="63">
        <f>IF(E104&gt;0, SUMIFS(Январь_2025[[#ALL],[Выручка (руб/мес)]],Январь_2025[[#ALL],[Филиал ТЦ]],E$98,Январь_2025[[#ALL],[Категория]],$A104)/SUMIFS(Январь_2025[[#ALL],[Продажи/мес]],Январь_2025[[#ALL],[Филиал ТЦ]],E$98,Январь_2025[[#ALL],[Категория]],$A104), "нет категории")</f>
        <v>28125</v>
      </c>
      <c r="G104" s="64">
        <f>IF(E104&gt;0,SUMIFS(Январь_2025[[#ALL],[Выручка (руб/мес)]],Январь_2025[[#ALL],[Филиал ТЦ]],E$98,Январь_2025[[#ALL],[Категория]],$A104)/SUMIFS(Январь_2025[[#ALL],[Площадь (м²)]],Январь_2025[[#ALL],[Филиал ТЦ]],E$98,Январь_2025[[#ALL],[Категория]],$A104), "нет категории")</f>
        <v>10000</v>
      </c>
      <c r="H104" s="62">
        <f>SUMIFS(Январь_2025[[#ALL],[Площадь (м²)]],Январь_2025[[#ALL],[Филиал ТЦ]],H$98,Январь_2025[[#ALL],[Категория]],$A104)/SUMIFS(Январь_2025[[#ALL],[Площадь (м²)]],Январь_2025[[#ALL],[Филиал ТЦ]],H$98)</f>
        <v>0.08032345013</v>
      </c>
      <c r="I104" s="63">
        <f>IF(H104&gt;0, SUMIFS(Январь_2025[[#ALL],[Выручка (руб/мес)]],Январь_2025[[#ALL],[Филиал ТЦ]],H$98,Январь_2025[[#ALL],[Категория]],$A104)/SUMIFS(Январь_2025[[#ALL],[Продажи/мес]],Январь_2025[[#ALL],[Филиал ТЦ]],H$98,Январь_2025[[#ALL],[Категория]],$A104), "нет категории")</f>
        <v>95294.11765</v>
      </c>
      <c r="J104" s="64">
        <f>IF(H104&gt;0, SUMIFS(Январь_2025[[#ALL],[Выручка (руб/мес)]],Январь_2025[[#ALL],[Филиал ТЦ]],H$98,Январь_2025[[#ALL],[Категория]],$A104)/SUMIFS(Январь_2025[[#ALL],[Площадь (м²)]],Январь_2025[[#ALL],[Филиал ТЦ]],H$98,Январь_2025[[#ALL],[Категория]],$A104), "нет категории")</f>
        <v>10872.48322</v>
      </c>
      <c r="K104" s="62">
        <f>SUMIFS(Январь_2025[[#ALL],[Площадь (м²)]],Январь_2025[[#ALL],[Филиал ТЦ]],K$98,Январь_2025[[#ALL],[Категория]],$A104)/SUMIFS(Январь_2025[[#ALL],[Площадь (м²)]],Январь_2025[[#ALL],[Филиал ТЦ]],K$98)</f>
        <v>0.0652360515</v>
      </c>
      <c r="L104" s="63">
        <f>IF(K104&gt;0, SUMIFS(Январь_2025[[#ALL],[Выручка (руб/мес)]],Январь_2025[[#ALL],[Филиал ТЦ]],K$98,Январь_2025[[#ALL],[Категория]],$A104)/SUMIFS(Январь_2025[[#ALL],[Продажи/мес]],Январь_2025[[#ALL],[Филиал ТЦ]],K$98,Январь_2025[[#ALL],[Категория]],$A104), "нет категории")</f>
        <v>27547.16981</v>
      </c>
      <c r="M104" s="64">
        <f>IF(K104&gt;0, SUMIFS(Январь_2025[[#ALL],[Выручка (руб/мес)]],Январь_2025[[#ALL],[Филиал ТЦ]],K$98,Январь_2025[[#ALL],[Категория]],$A104)/SUMIFS(Январь_2025[[#ALL],[Площадь (м²)]],Январь_2025[[#ALL],[Филиал ТЦ]],K$98,Январь_2025[[#ALL],[Категория]],$A104), "нет категории")</f>
        <v>9605.263158</v>
      </c>
    </row>
    <row r="105" ht="21.0" customHeight="1">
      <c r="A105" s="61" t="s">
        <v>40</v>
      </c>
      <c r="B105" s="62">
        <f>SUMIFS(Январь_2025[[#ALL],[Площадь (м²)]],Январь_2025[[#ALL],[Филиал ТЦ]],B$98,Январь_2025[[#ALL],[Категория]],$A105)/SUMIFS(Январь_2025[[#ALL],[Площадь (м²)]],Январь_2025[[#ALL],[Филиал ТЦ]],B$98)</f>
        <v>0.09511568123</v>
      </c>
      <c r="C105" s="63">
        <f>IF(B105&gt;0, SUMIFS(Январь_2025[[#ALL],[Выручка (руб/мес)]],Январь_2025[[#ALL],[Филиал ТЦ]],B$98,Январь_2025[[#ALL],[Категория]],$A105)/SUMIFS(Январь_2025[[#ALL],[Продажи/мес]],Январь_2025[[#ALL],[Филиал ТЦ]],B$98,Январь_2025[[#ALL],[Категория]],$A105), "нет категории")</f>
        <v>80769.23077</v>
      </c>
      <c r="D105" s="64">
        <f>IF(B105&gt;0, SUMIFS(Январь_2025[[#ALL],[Выручка (руб/мес)]],Январь_2025[[#ALL],[Филиал ТЦ]],B$98,Январь_2025[[#ALL],[Категория]],$A105)/SUMIFS(Январь_2025[[#ALL],[Площадь (м²)]],Январь_2025[[#ALL],[Филиал ТЦ]],B$98,Январь_2025[[#ALL],[Категория]],$A105), "нет категории")</f>
        <v>14189.18919</v>
      </c>
      <c r="E105" s="62">
        <f>SUMIFS(Январь_2025[[#ALL],[Площадь (м²)]],Январь_2025[[#ALL],[Филиал ТЦ]],E$98,Январь_2025[[#ALL],[Категория]],$A105)/SUMIFS(Январь_2025[[#ALL],[Площадь (м²)]],Январь_2025[[#ALL],[Филиал ТЦ]],E$98)</f>
        <v>0.2045036765</v>
      </c>
      <c r="F105" s="63">
        <f>IF(E105&gt;0, SUMIFS(Январь_2025[[#ALL],[Выручка (руб/мес)]],Январь_2025[[#ALL],[Филиал ТЦ]],E$98,Январь_2025[[#ALL],[Категория]],$A105)/SUMIFS(Январь_2025[[#ALL],[Продажи/мес]],Январь_2025[[#ALL],[Филиал ТЦ]],E$98,Январь_2025[[#ALL],[Категория]],$A105), "нет категории")</f>
        <v>61437.5</v>
      </c>
      <c r="G105" s="64">
        <f>IF(E105&gt;0,SUMIFS(Январь_2025[[#ALL],[Выручка (руб/мес)]],Январь_2025[[#ALL],[Филиал ТЦ]],E$98,Январь_2025[[#ALL],[Категория]],$A105)/SUMIFS(Январь_2025[[#ALL],[Площадь (м²)]],Январь_2025[[#ALL],[Филиал ТЦ]],E$98,Январь_2025[[#ALL],[Категория]],$A105), "нет категории")</f>
        <v>11044.94382</v>
      </c>
      <c r="H105" s="62">
        <f>SUMIFS(Январь_2025[[#ALL],[Площадь (м²)]],Январь_2025[[#ALL],[Филиал ТЦ]],H$98,Январь_2025[[#ALL],[Категория]],$A105)/SUMIFS(Январь_2025[[#ALL],[Площадь (м²)]],Январь_2025[[#ALL],[Филиал ТЦ]],H$98)</f>
        <v>0.1326145553</v>
      </c>
      <c r="I105" s="63">
        <f>IF(H105&gt;0, SUMIFS(Январь_2025[[#ALL],[Выручка (руб/мес)]],Январь_2025[[#ALL],[Филиал ТЦ]],H$98,Январь_2025[[#ALL],[Категория]],$A105)/SUMIFS(Январь_2025[[#ALL],[Продажи/мес]],Январь_2025[[#ALL],[Филиал ТЦ]],H$98,Январь_2025[[#ALL],[Категория]],$A105), "нет категории")</f>
        <v>93103.44828</v>
      </c>
      <c r="J105" s="64">
        <f>IF(H105&gt;0, SUMIFS(Январь_2025[[#ALL],[Выручка (руб/мес)]],Январь_2025[[#ALL],[Филиал ТЦ]],H$98,Январь_2025[[#ALL],[Категория]],$A105)/SUMIFS(Январь_2025[[#ALL],[Площадь (м²)]],Январь_2025[[#ALL],[Филиал ТЦ]],H$98,Январь_2025[[#ALL],[Категория]],$A105), "нет категории")</f>
        <v>10975.60976</v>
      </c>
      <c r="K105" s="62">
        <f>SUMIFS(Январь_2025[[#ALL],[Площадь (м²)]],Январь_2025[[#ALL],[Филиал ТЦ]],K$98,Январь_2025[[#ALL],[Категория]],$A105)/SUMIFS(Январь_2025[[#ALL],[Площадь (м²)]],Январь_2025[[#ALL],[Филиал ТЦ]],K$98)</f>
        <v>0.09270386266</v>
      </c>
      <c r="L105" s="63">
        <f>IF(K105&gt;0, SUMIFS(Январь_2025[[#ALL],[Выручка (руб/мес)]],Январь_2025[[#ALL],[Филиал ТЦ]],K$98,Январь_2025[[#ALL],[Категория]],$A105)/SUMIFS(Январь_2025[[#ALL],[Продажи/мес]],Январь_2025[[#ALL],[Филиал ТЦ]],K$98,Январь_2025[[#ALL],[Категория]],$A105), "нет категории")</f>
        <v>146851.8519</v>
      </c>
      <c r="M105" s="64">
        <f>IF(K105&gt;0, SUMIFS(Январь_2025[[#ALL],[Выручка (руб/мес)]],Январь_2025[[#ALL],[Филиал ТЦ]],K$98,Январь_2025[[#ALL],[Категория]],$A105)/SUMIFS(Январь_2025[[#ALL],[Площадь (м²)]],Январь_2025[[#ALL],[Филиал ТЦ]],K$98,Январь_2025[[#ALL],[Категория]],$A105), "нет категории")</f>
        <v>18356.48148</v>
      </c>
    </row>
    <row r="106" ht="21.0" customHeight="1">
      <c r="A106" s="61" t="s">
        <v>121</v>
      </c>
      <c r="B106" s="62">
        <f>SUMIFS(Январь_2025[[#ALL],[Площадь (м²)]],Январь_2025[[#ALL],[Филиал ТЦ]],B$98,Январь_2025[[#ALL],[Категория]],$A106)/SUMIFS(Январь_2025[[#ALL],[Площадь (м²)]],Январь_2025[[#ALL],[Филиал ТЦ]],B$98)</f>
        <v>0.02570694087</v>
      </c>
      <c r="C106" s="63">
        <f>IF(B106&gt;0, SUMIFS(Январь_2025[[#ALL],[Выручка (руб/мес)]],Январь_2025[[#ALL],[Филиал ТЦ]],B$98,Январь_2025[[#ALL],[Категория]],$A106)/SUMIFS(Январь_2025[[#ALL],[Продажи/мес]],Январь_2025[[#ALL],[Филиал ТЦ]],B$98,Январь_2025[[#ALL],[Категория]],$A106), "нет категории")</f>
        <v>87083.33333</v>
      </c>
      <c r="D106" s="64">
        <f>IF(B106&gt;0, SUMIFS(Январь_2025[[#ALL],[Выручка (руб/мес)]],Январь_2025[[#ALL],[Филиал ТЦ]],B$98,Январь_2025[[#ALL],[Категория]],$A106)/SUMIFS(Январь_2025[[#ALL],[Площадь (м²)]],Январь_2025[[#ALL],[Филиал ТЦ]],B$98,Январь_2025[[#ALL],[Категория]],$A106), "нет категории")</f>
        <v>26125</v>
      </c>
      <c r="E106" s="62">
        <f>SUMIFS(Январь_2025[[#ALL],[Площадь (м²)]],Январь_2025[[#ALL],[Филиал ТЦ]],E$98,Январь_2025[[#ALL],[Категория]],$A106)/SUMIFS(Январь_2025[[#ALL],[Площадь (м²)]],Январь_2025[[#ALL],[Филиал ТЦ]],E$98)</f>
        <v>0.08272058824</v>
      </c>
      <c r="F106" s="63">
        <f>IF(E106&gt;0, SUMIFS(Январь_2025[[#ALL],[Выручка (руб/мес)]],Январь_2025[[#ALL],[Филиал ТЦ]],E$98,Январь_2025[[#ALL],[Категория]],$A106)/SUMIFS(Январь_2025[[#ALL],[Продажи/мес]],Январь_2025[[#ALL],[Филиал ТЦ]],E$98,Январь_2025[[#ALL],[Категория]],$A106), "нет категории")</f>
        <v>480000</v>
      </c>
      <c r="G106" s="64">
        <f>IF(E106&gt;0,SUMIFS(Январь_2025[[#ALL],[Выручка (руб/мес)]],Январь_2025[[#ALL],[Филиал ТЦ]],E$98,Январь_2025[[#ALL],[Категория]],$A106)/SUMIFS(Январь_2025[[#ALL],[Площадь (м²)]],Январь_2025[[#ALL],[Филиал ТЦ]],E$98,Январь_2025[[#ALL],[Категория]],$A106), "нет категории")</f>
        <v>10666.66667</v>
      </c>
      <c r="H106" s="62">
        <f>SUMIFS(Январь_2025[[#ALL],[Площадь (м²)]],Январь_2025[[#ALL],[Филиал ТЦ]],H$98,Январь_2025[[#ALL],[Категория]],$A106)/SUMIFS(Январь_2025[[#ALL],[Площадь (м²)]],Январь_2025[[#ALL],[Филиал ТЦ]],H$98)</f>
        <v>0.0539083558</v>
      </c>
      <c r="I106" s="63">
        <f>IF(H106&gt;0, SUMIFS(Январь_2025[[#ALL],[Выручка (руб/мес)]],Январь_2025[[#ALL],[Филиал ТЦ]],H$98,Январь_2025[[#ALL],[Категория]],$A106)/SUMIFS(Январь_2025[[#ALL],[Продажи/мес]],Январь_2025[[#ALL],[Филиал ТЦ]],H$98,Январь_2025[[#ALL],[Категория]],$A106), "нет категории")</f>
        <v>23800</v>
      </c>
      <c r="J106" s="64">
        <f>IF(H106&gt;0, SUMIFS(Январь_2025[[#ALL],[Выручка (руб/мес)]],Январь_2025[[#ALL],[Филиал ТЦ]],H$98,Январь_2025[[#ALL],[Категория]],$A106)/SUMIFS(Январь_2025[[#ALL],[Площадь (м²)]],Январь_2025[[#ALL],[Филиал ТЦ]],H$98,Январь_2025[[#ALL],[Категория]],$A106), "нет категории")</f>
        <v>17850</v>
      </c>
      <c r="K106" s="62">
        <f>SUMIFS(Январь_2025[[#ALL],[Площадь (м²)]],Январь_2025[[#ALL],[Филиал ТЦ]],K$98,Январь_2025[[#ALL],[Категория]],$A106)/SUMIFS(Январь_2025[[#ALL],[Площадь (м²)]],Январь_2025[[#ALL],[Филиал ТЦ]],K$98)</f>
        <v>0.01931330472</v>
      </c>
      <c r="L106" s="63">
        <f>IF(K106&gt;0, SUMIFS(Январь_2025[[#ALL],[Выручка (руб/мес)]],Январь_2025[[#ALL],[Филиал ТЦ]],K$98,Январь_2025[[#ALL],[Категория]],$A106)/SUMIFS(Январь_2025[[#ALL],[Продажи/мес]],Январь_2025[[#ALL],[Филиал ТЦ]],K$98,Январь_2025[[#ALL],[Категория]],$A106), "нет категории")</f>
        <v>24000</v>
      </c>
      <c r="M106" s="64">
        <f>IF(K106&gt;0, SUMIFS(Январь_2025[[#ALL],[Выручка (руб/мес)]],Январь_2025[[#ALL],[Филиал ТЦ]],K$98,Январь_2025[[#ALL],[Категория]],$A106)/SUMIFS(Январь_2025[[#ALL],[Площадь (м²)]],Январь_2025[[#ALL],[Филиал ТЦ]],K$98,Январь_2025[[#ALL],[Категория]],$A106), "нет категории")</f>
        <v>37333.33333</v>
      </c>
    </row>
    <row r="107" ht="21.0" customHeight="1">
      <c r="A107" s="61" t="s">
        <v>57</v>
      </c>
      <c r="B107" s="62">
        <f>SUMIFS(Январь_2025[[#ALL],[Площадь (м²)]],Январь_2025[[#ALL],[Филиал ТЦ]],B$98,Январь_2025[[#ALL],[Категория]],$A107)/SUMIFS(Январь_2025[[#ALL],[Площадь (м²)]],Январь_2025[[#ALL],[Филиал ТЦ]],B$98)</f>
        <v>0.2538560411</v>
      </c>
      <c r="C107" s="63">
        <f>IF(B107&gt;0, SUMIFS(Январь_2025[[#ALL],[Выручка (руб/мес)]],Январь_2025[[#ALL],[Филиал ТЦ]],B$98,Январь_2025[[#ALL],[Категория]],$A107)/SUMIFS(Январь_2025[[#ALL],[Продажи/мес]],Январь_2025[[#ALL],[Филиал ТЦ]],B$98,Январь_2025[[#ALL],[Категория]],$A107), "нет категории")</f>
        <v>69763.77953</v>
      </c>
      <c r="D107" s="64">
        <f>IF(B107&gt;0, SUMIFS(Январь_2025[[#ALL],[Выручка (руб/мес)]],Январь_2025[[#ALL],[Филиал ТЦ]],B$98,Январь_2025[[#ALL],[Категория]],$A107)/SUMIFS(Январь_2025[[#ALL],[Площадь (м²)]],Январь_2025[[#ALL],[Филиал ТЦ]],B$98,Январь_2025[[#ALL],[Категория]],$A107), "нет категории")</f>
        <v>11215.18987</v>
      </c>
      <c r="E107" s="62">
        <f>SUMIFS(Январь_2025[[#ALL],[Площадь (м²)]],Январь_2025[[#ALL],[Филиал ТЦ]],E$98,Январь_2025[[#ALL],[Категория]],$A107)/SUMIFS(Январь_2025[[#ALL],[Площадь (м²)]],Январь_2025[[#ALL],[Филиал ТЦ]],E$98)</f>
        <v>0</v>
      </c>
      <c r="F107" s="63" t="str">
        <f>IF(E107&gt;0, SUMIFS(Январь_2025[[#ALL],[Выручка (руб/мес)]],Январь_2025[[#ALL],[Филиал ТЦ]],E$98,Январь_2025[[#ALL],[Категория]],$A107)/SUMIFS(Январь_2025[[#ALL],[Продажи/мес]],Январь_2025[[#ALL],[Филиал ТЦ]],E$98,Январь_2025[[#ALL],[Категория]],$A107), "нет категории")</f>
        <v>нет категории</v>
      </c>
      <c r="G107" s="64" t="str">
        <f>IF(E107&gt;0,SUMIFS(Январь_2025[[#ALL],[Выручка (руб/мес)]],Январь_2025[[#ALL],[Филиал ТЦ]],E$98,Январь_2025[[#ALL],[Категория]],$A107)/SUMIFS(Январь_2025[[#ALL],[Площадь (м²)]],Январь_2025[[#ALL],[Филиал ТЦ]],E$98,Январь_2025[[#ALL],[Категория]],$A107), "нет категории")</f>
        <v>нет категории</v>
      </c>
      <c r="H107" s="62">
        <f>SUMIFS(Январь_2025[[#ALL],[Площадь (м²)]],Январь_2025[[#ALL],[Филиал ТЦ]],H$98,Январь_2025[[#ALL],[Категория]],$A107)/SUMIFS(Январь_2025[[#ALL],[Площадь (м²)]],Январь_2025[[#ALL],[Филиал ТЦ]],H$98)</f>
        <v>0</v>
      </c>
      <c r="I107" s="63" t="str">
        <f>IF(H107&gt;0, SUMIFS(Январь_2025[[#ALL],[Выручка (руб/мес)]],Январь_2025[[#ALL],[Филиал ТЦ]],H$98,Январь_2025[[#ALL],[Категория]],$A107)/SUMIFS(Январь_2025[[#ALL],[Продажи/мес]],Январь_2025[[#ALL],[Филиал ТЦ]],H$98,Январь_2025[[#ALL],[Категория]],$A107), "нет категории")</f>
        <v>нет категории</v>
      </c>
      <c r="J107" s="64" t="str">
        <f>IF(H107&gt;0, SUMIFS(Январь_2025[[#ALL],[Выручка (руб/мес)]],Январь_2025[[#ALL],[Филиал ТЦ]],H$98,Январь_2025[[#ALL],[Категория]],$A107)/SUMIFS(Январь_2025[[#ALL],[Площадь (м²)]],Январь_2025[[#ALL],[Филиал ТЦ]],H$98,Январь_2025[[#ALL],[Категория]],$A107), "нет категории")</f>
        <v>нет категории</v>
      </c>
      <c r="K107" s="62">
        <f>SUMIFS(Январь_2025[[#ALL],[Площадь (м²)]],Январь_2025[[#ALL],[Филиал ТЦ]],K$98,Январь_2025[[#ALL],[Категория]],$A107)/SUMIFS(Январь_2025[[#ALL],[Площадь (м²)]],Январь_2025[[#ALL],[Филиал ТЦ]],K$98)</f>
        <v>0.05879828326</v>
      </c>
      <c r="L107" s="63">
        <f>IF(K107&gt;0, SUMIFS(Январь_2025[[#ALL],[Выручка (руб/мес)]],Январь_2025[[#ALL],[Филиал ТЦ]],K$98,Январь_2025[[#ALL],[Категория]],$A107)/SUMIFS(Январь_2025[[#ALL],[Продажи/мес]],Январь_2025[[#ALL],[Филиал ТЦ]],K$98,Январь_2025[[#ALL],[Категория]],$A107), "нет категории")</f>
        <v>34521.73913</v>
      </c>
      <c r="M107" s="64">
        <f>IF(K107&gt;0, SUMIFS(Январь_2025[[#ALL],[Выручка (руб/мес)]],Январь_2025[[#ALL],[Филиал ТЦ]],K$98,Январь_2025[[#ALL],[Категория]],$A107)/SUMIFS(Январь_2025[[#ALL],[Площадь (м²)]],Январь_2025[[#ALL],[Филиал ТЦ]],K$98,Январь_2025[[#ALL],[Категория]],$A107), "нет категории")</f>
        <v>5795.620438</v>
      </c>
    </row>
    <row r="108" ht="21.0" customHeight="1">
      <c r="A108" s="61" t="s">
        <v>158</v>
      </c>
      <c r="B108" s="62">
        <f>SUMIFS(Январь_2025[[#ALL],[Площадь (м²)]],Январь_2025[[#ALL],[Филиал ТЦ]],B$98,Январь_2025[[#ALL],[Категория]],$A108)/SUMIFS(Январь_2025[[#ALL],[Площадь (м²)]],Январь_2025[[#ALL],[Филиал ТЦ]],B$98)</f>
        <v>0.02892030848</v>
      </c>
      <c r="C108" s="63">
        <f>IF(B108&gt;0, SUMIFS(Январь_2025[[#ALL],[Выручка (руб/мес)]],Январь_2025[[#ALL],[Филиал ТЦ]],B$98,Январь_2025[[#ALL],[Категория]],$A108)/SUMIFS(Январь_2025[[#ALL],[Продажи/мес]],Январь_2025[[#ALL],[Филиал ТЦ]],B$98,Январь_2025[[#ALL],[Категория]],$A108), "нет категории")</f>
        <v>9000</v>
      </c>
      <c r="D108" s="64">
        <f>IF(B108&gt;0, SUMIFS(Январь_2025[[#ALL],[Выручка (руб/мес)]],Январь_2025[[#ALL],[Филиал ТЦ]],B$98,Январь_2025[[#ALL],[Категория]],$A108)/SUMIFS(Январь_2025[[#ALL],[Площадь (м²)]],Январь_2025[[#ALL],[Филиал ТЦ]],B$98,Январь_2025[[#ALL],[Категория]],$A108), "нет категории")</f>
        <v>2000</v>
      </c>
      <c r="E108" s="62">
        <f>SUMIFS(Январь_2025[[#ALL],[Площадь (м²)]],Январь_2025[[#ALL],[Филиал ТЦ]],E$98,Январь_2025[[#ALL],[Категория]],$A108)/SUMIFS(Январь_2025[[#ALL],[Площадь (м²)]],Январь_2025[[#ALL],[Филиал ТЦ]],E$98)</f>
        <v>0.03676470588</v>
      </c>
      <c r="F108" s="63">
        <f>IF(E108&gt;0, SUMIFS(Январь_2025[[#ALL],[Выручка (руб/мес)]],Январь_2025[[#ALL],[Филиал ТЦ]],E$98,Январь_2025[[#ALL],[Категория]],$A108)/SUMIFS(Январь_2025[[#ALL],[Продажи/мес]],Январь_2025[[#ALL],[Филиал ТЦ]],E$98,Январь_2025[[#ALL],[Категория]],$A108), "нет категории")</f>
        <v>16000</v>
      </c>
      <c r="G108" s="64">
        <f>IF(E108&gt;0,SUMIFS(Январь_2025[[#ALL],[Выручка (руб/мес)]],Январь_2025[[#ALL],[Филиал ТЦ]],E$98,Январь_2025[[#ALL],[Категория]],$A108)/SUMIFS(Январь_2025[[#ALL],[Площадь (м²)]],Январь_2025[[#ALL],[Филиал ТЦ]],E$98,Январь_2025[[#ALL],[Категория]],$A108), "нет категории")</f>
        <v>1000</v>
      </c>
      <c r="H108" s="62">
        <f>SUMIFS(Январь_2025[[#ALL],[Площадь (м²)]],Январь_2025[[#ALL],[Филиал ТЦ]],H$98,Январь_2025[[#ALL],[Категория]],$A108)/SUMIFS(Январь_2025[[#ALL],[Площадь (м²)]],Январь_2025[[#ALL],[Филиал ТЦ]],H$98)</f>
        <v>0.03773584906</v>
      </c>
      <c r="I108" s="63">
        <f>IF(H108&gt;0, SUMIFS(Январь_2025[[#ALL],[Выручка (руб/мес)]],Январь_2025[[#ALL],[Филиал ТЦ]],H$98,Январь_2025[[#ALL],[Категория]],$A108)/SUMIFS(Январь_2025[[#ALL],[Продажи/мес]],Январь_2025[[#ALL],[Филиал ТЦ]],H$98,Январь_2025[[#ALL],[Категория]],$A108), "нет категории")</f>
        <v>11000</v>
      </c>
      <c r="J108" s="64">
        <f>IF(H108&gt;0, SUMIFS(Январь_2025[[#ALL],[Выручка (руб/мес)]],Январь_2025[[#ALL],[Филиал ТЦ]],H$98,Январь_2025[[#ALL],[Категория]],$A108)/SUMIFS(Январь_2025[[#ALL],[Площадь (м²)]],Январь_2025[[#ALL],[Филиал ТЦ]],H$98,Январь_2025[[#ALL],[Категория]],$A108), "нет категории")</f>
        <v>1571.428571</v>
      </c>
      <c r="K108" s="62">
        <f>SUMIFS(Январь_2025[[#ALL],[Площадь (м²)]],Январь_2025[[#ALL],[Филиал ТЦ]],K$98,Январь_2025[[#ALL],[Категория]],$A108)/SUMIFS(Январь_2025[[#ALL],[Площадь (м²)]],Январь_2025[[#ALL],[Филиал ТЦ]],K$98)</f>
        <v>0.02575107296</v>
      </c>
      <c r="L108" s="63">
        <f>IF(K108&gt;0, SUMIFS(Январь_2025[[#ALL],[Выручка (руб/мес)]],Январь_2025[[#ALL],[Филиал ТЦ]],K$98,Январь_2025[[#ALL],[Категория]],$A108)/SUMIFS(Январь_2025[[#ALL],[Продажи/мес]],Январь_2025[[#ALL],[Филиал ТЦ]],K$98,Январь_2025[[#ALL],[Категория]],$A108), "нет категории")</f>
        <v>22500</v>
      </c>
      <c r="M108" s="64">
        <f>IF(K108&gt;0, SUMIFS(Январь_2025[[#ALL],[Выручка (руб/мес)]],Январь_2025[[#ALL],[Филиал ТЦ]],K$98,Январь_2025[[#ALL],[Категория]],$A108)/SUMIFS(Январь_2025[[#ALL],[Площадь (м²)]],Январь_2025[[#ALL],[Филиал ТЦ]],K$98,Январь_2025[[#ALL],[Категория]],$A108), "нет категории")</f>
        <v>750</v>
      </c>
    </row>
    <row r="109" ht="21.0" customHeight="1">
      <c r="A109" s="61" t="s">
        <v>12</v>
      </c>
      <c r="B109" s="62">
        <f>SUMIFS(Январь_2025[[#ALL],[Площадь (м²)]],Январь_2025[[#ALL],[Филиал ТЦ]],B$98,Январь_2025[[#ALL],[Категория]],$A109)/SUMIFS(Январь_2025[[#ALL],[Площадь (м²)]],Январь_2025[[#ALL],[Филиал ТЦ]],B$98)</f>
        <v>0.04820051414</v>
      </c>
      <c r="C109" s="63">
        <f>IF(B109&gt;0, SUMIFS(Январь_2025[[#ALL],[Выручка (руб/мес)]],Январь_2025[[#ALL],[Филиал ТЦ]],B$98,Январь_2025[[#ALL],[Категория]],$A109)/SUMIFS(Январь_2025[[#ALL],[Продажи/мес]],Январь_2025[[#ALL],[Филиал ТЦ]],B$98,Январь_2025[[#ALL],[Категория]],$A109), "нет категории")</f>
        <v>15548.78049</v>
      </c>
      <c r="D109" s="64">
        <f>IF(B109&gt;0, SUMIFS(Январь_2025[[#ALL],[Выручка (руб/мес)]],Январь_2025[[#ALL],[Филиал ТЦ]],B$98,Январь_2025[[#ALL],[Категория]],$A109)/SUMIFS(Январь_2025[[#ALL],[Площадь (м²)]],Январь_2025[[#ALL],[Филиал ТЦ]],B$98,Январь_2025[[#ALL],[Категория]],$A109), "нет категории")</f>
        <v>8500</v>
      </c>
      <c r="E109" s="62">
        <f>SUMIFS(Январь_2025[[#ALL],[Площадь (м²)]],Январь_2025[[#ALL],[Филиал ТЦ]],E$98,Январь_2025[[#ALL],[Категория]],$A109)/SUMIFS(Январь_2025[[#ALL],[Площадь (м²)]],Январь_2025[[#ALL],[Филиал ТЦ]],E$98)</f>
        <v>0.06433823529</v>
      </c>
      <c r="F109" s="63">
        <f>IF(E109&gt;0, SUMIFS(Январь_2025[[#ALL],[Выручка (руб/мес)]],Январь_2025[[#ALL],[Филиал ТЦ]],E$98,Январь_2025[[#ALL],[Категория]],$A109)/SUMIFS(Январь_2025[[#ALL],[Продажи/мес]],Январь_2025[[#ALL],[Филиал ТЦ]],E$98,Январь_2025[[#ALL],[Категория]],$A109), "нет категории")</f>
        <v>15202.7027</v>
      </c>
      <c r="G109" s="64">
        <f>IF(E109&gt;0,SUMIFS(Январь_2025[[#ALL],[Выручка (руб/мес)]],Январь_2025[[#ALL],[Филиал ТЦ]],E$98,Январь_2025[[#ALL],[Категория]],$A109)/SUMIFS(Январь_2025[[#ALL],[Площадь (м²)]],Январь_2025[[#ALL],[Филиал ТЦ]],E$98,Январь_2025[[#ALL],[Категория]],$A109), "нет категории")</f>
        <v>8035.714286</v>
      </c>
      <c r="H109" s="62">
        <f>SUMIFS(Январь_2025[[#ALL],[Площадь (м²)]],Январь_2025[[#ALL],[Филиал ТЦ]],H$98,Январь_2025[[#ALL],[Категория]],$A109)/SUMIFS(Январь_2025[[#ALL],[Площадь (м²)]],Январь_2025[[#ALL],[Филиал ТЦ]],H$98)</f>
        <v>0.07008086253</v>
      </c>
      <c r="I109" s="63">
        <f>IF(H109&gt;0, SUMIFS(Январь_2025[[#ALL],[Выручка (руб/мес)]],Январь_2025[[#ALL],[Филиал ТЦ]],H$98,Январь_2025[[#ALL],[Категория]],$A109)/SUMIFS(Январь_2025[[#ALL],[Продажи/мес]],Январь_2025[[#ALL],[Филиал ТЦ]],H$98,Январь_2025[[#ALL],[Категория]],$A109), "нет категории")</f>
        <v>15476.19048</v>
      </c>
      <c r="J109" s="64">
        <f>IF(H109&gt;0, SUMIFS(Январь_2025[[#ALL],[Выручка (руб/мес)]],Январь_2025[[#ALL],[Филиал ТЦ]],H$98,Январь_2025[[#ALL],[Категория]],$A109)/SUMIFS(Январь_2025[[#ALL],[Площадь (м²)]],Январь_2025[[#ALL],[Филиал ТЦ]],H$98,Январь_2025[[#ALL],[Категория]],$A109), "нет категории")</f>
        <v>7500</v>
      </c>
      <c r="K109" s="62">
        <f>SUMIFS(Январь_2025[[#ALL],[Площадь (м²)]],Январь_2025[[#ALL],[Филиал ТЦ]],K$98,Январь_2025[[#ALL],[Категория]],$A109)/SUMIFS(Январь_2025[[#ALL],[Площадь (м²)]],Январь_2025[[#ALL],[Филиал ТЦ]],K$98)</f>
        <v>0.05150214592</v>
      </c>
      <c r="L109" s="63">
        <f>IF(K109&gt;0, SUMIFS(Январь_2025[[#ALL],[Выручка (руб/мес)]],Январь_2025[[#ALL],[Филиал ТЦ]],K$98,Январь_2025[[#ALL],[Категория]],$A109)/SUMIFS(Январь_2025[[#ALL],[Продажи/мес]],Январь_2025[[#ALL],[Филиал ТЦ]],K$98,Январь_2025[[#ALL],[Категория]],$A109), "нет категории")</f>
        <v>16363.63636</v>
      </c>
      <c r="M109" s="64">
        <f>IF(K109&gt;0, SUMIFS(Январь_2025[[#ALL],[Выручка (руб/мес)]],Январь_2025[[#ALL],[Филиал ТЦ]],K$98,Январь_2025[[#ALL],[Категория]],$A109)/SUMIFS(Январь_2025[[#ALL],[Площадь (м²)]],Январь_2025[[#ALL],[Филиал ТЦ]],K$98,Январь_2025[[#ALL],[Категория]],$A109), "нет категории")</f>
        <v>7500</v>
      </c>
    </row>
    <row r="110" ht="21.0" customHeight="1">
      <c r="A110" s="61" t="s">
        <v>149</v>
      </c>
      <c r="B110" s="62">
        <f>SUMIFS(Январь_2025[[#ALL],[Площадь (м²)]],Январь_2025[[#ALL],[Филиал ТЦ]],B$98,Январь_2025[[#ALL],[Категория]],$A110)/SUMIFS(Январь_2025[[#ALL],[Площадь (м²)]],Январь_2025[[#ALL],[Филиал ТЦ]],B$98)</f>
        <v>0.04177377892</v>
      </c>
      <c r="C110" s="63">
        <f>IF(B110&gt;0, SUMIFS(Январь_2025[[#ALL],[Выручка (руб/мес)]],Январь_2025[[#ALL],[Филиал ТЦ]],B$98,Январь_2025[[#ALL],[Категория]],$A110)/SUMIFS(Январь_2025[[#ALL],[Продажи/мес]],Январь_2025[[#ALL],[Филиал ТЦ]],B$98,Январь_2025[[#ALL],[Категория]],$A110), "нет категории")</f>
        <v>26000</v>
      </c>
      <c r="D110" s="64">
        <f>IF(B110&gt;0, SUMIFS(Январь_2025[[#ALL],[Выручка (руб/мес)]],Январь_2025[[#ALL],[Филиал ТЦ]],B$98,Январь_2025[[#ALL],[Категория]],$A110)/SUMIFS(Январь_2025[[#ALL],[Площадь (м²)]],Январь_2025[[#ALL],[Филиал ТЦ]],B$98,Январь_2025[[#ALL],[Категория]],$A110), "нет категории")</f>
        <v>14000</v>
      </c>
      <c r="E110" s="62">
        <f>SUMIFS(Январь_2025[[#ALL],[Площадь (м²)]],Январь_2025[[#ALL],[Филиал ТЦ]],E$98,Январь_2025[[#ALL],[Категория]],$A110)/SUMIFS(Январь_2025[[#ALL],[Площадь (м²)]],Январь_2025[[#ALL],[Филиал ТЦ]],E$98)</f>
        <v>0.05514705882</v>
      </c>
      <c r="F110" s="63">
        <f>IF(E110&gt;0, SUMIFS(Январь_2025[[#ALL],[Выручка (руб/мес)]],Январь_2025[[#ALL],[Филиал ТЦ]],E$98,Январь_2025[[#ALL],[Категория]],$A110)/SUMIFS(Январь_2025[[#ALL],[Продажи/мес]],Январь_2025[[#ALL],[Филиал ТЦ]],E$98,Январь_2025[[#ALL],[Категория]],$A110), "нет категории")</f>
        <v>240000</v>
      </c>
      <c r="G110" s="64">
        <f>IF(E110&gt;0,SUMIFS(Январь_2025[[#ALL],[Выручка (руб/мес)]],Январь_2025[[#ALL],[Филиал ТЦ]],E$98,Январь_2025[[#ALL],[Категория]],$A110)/SUMIFS(Январь_2025[[#ALL],[Площадь (м²)]],Январь_2025[[#ALL],[Филиал ТЦ]],E$98,Январь_2025[[#ALL],[Категория]],$A110), "нет категории")</f>
        <v>130000</v>
      </c>
      <c r="H110" s="62">
        <f>SUMIFS(Январь_2025[[#ALL],[Площадь (м²)]],Январь_2025[[#ALL],[Филиал ТЦ]],H$98,Январь_2025[[#ALL],[Категория]],$A110)/SUMIFS(Январь_2025[[#ALL],[Площадь (м²)]],Январь_2025[[#ALL],[Филиал ТЦ]],H$98)</f>
        <v>0.05929919137</v>
      </c>
      <c r="I110" s="63">
        <f>IF(H110&gt;0, SUMIFS(Январь_2025[[#ALL],[Выручка (руб/мес)]],Январь_2025[[#ALL],[Филиал ТЦ]],H$98,Январь_2025[[#ALL],[Категория]],$A110)/SUMIFS(Январь_2025[[#ALL],[Продажи/мес]],Январь_2025[[#ALL],[Филиал ТЦ]],H$98,Январь_2025[[#ALL],[Категория]],$A110), "нет категории")</f>
        <v>22000</v>
      </c>
      <c r="J110" s="64">
        <f>IF(H110&gt;0, SUMIFS(Январь_2025[[#ALL],[Выручка (руб/мес)]],Январь_2025[[#ALL],[Филиал ТЦ]],H$98,Январь_2025[[#ALL],[Категория]],$A110)/SUMIFS(Январь_2025[[#ALL],[Площадь (м²)]],Январь_2025[[#ALL],[Филиал ТЦ]],H$98,Январь_2025[[#ALL],[Категория]],$A110), "нет категории")</f>
        <v>12000</v>
      </c>
      <c r="K110" s="62">
        <f>SUMIFS(Январь_2025[[#ALL],[Площадь (м²)]],Январь_2025[[#ALL],[Филиал ТЦ]],K$98,Январь_2025[[#ALL],[Категория]],$A110)/SUMIFS(Январь_2025[[#ALL],[Площадь (м²)]],Январь_2025[[#ALL],[Филиал ТЦ]],K$98)</f>
        <v>0.04291845494</v>
      </c>
      <c r="L110" s="63">
        <f>IF(K110&gt;0, SUMIFS(Январь_2025[[#ALL],[Выручка (руб/мес)]],Январь_2025[[#ALL],[Филиал ТЦ]],K$98,Январь_2025[[#ALL],[Категория]],$A110)/SUMIFS(Январь_2025[[#ALL],[Продажи/мес]],Январь_2025[[#ALL],[Филиал ТЦ]],K$98,Январь_2025[[#ALL],[Категория]],$A110), "нет категории")</f>
        <v>22000</v>
      </c>
      <c r="M110" s="64">
        <f>IF(K110&gt;0, SUMIFS(Январь_2025[[#ALL],[Выручка (руб/мес)]],Январь_2025[[#ALL],[Филиал ТЦ]],K$98,Январь_2025[[#ALL],[Категория]],$A110)/SUMIFS(Январь_2025[[#ALL],[Площадь (м²)]],Январь_2025[[#ALL],[Филиал ТЦ]],K$98,Январь_2025[[#ALL],[Категория]],$A110), "нет категории")</f>
        <v>12100</v>
      </c>
    </row>
    <row r="111" ht="21.0" customHeight="1">
      <c r="A111" s="61" t="s">
        <v>137</v>
      </c>
      <c r="B111" s="62">
        <f>SUMIFS(Январь_2025[[#ALL],[Площадь (м²)]],Январь_2025[[#ALL],[Филиал ТЦ]],B$98,Январь_2025[[#ALL],[Категория]],$A111)/SUMIFS(Январь_2025[[#ALL],[Площадь (м²)]],Январь_2025[[#ALL],[Филиал ТЦ]],B$98)</f>
        <v>0</v>
      </c>
      <c r="C111" s="63" t="str">
        <f>IF(B111&gt;0, SUMIFS(Январь_2025[[#ALL],[Выручка (руб/мес)]],Январь_2025[[#ALL],[Филиал ТЦ]],B$98,Январь_2025[[#ALL],[Категория]],$A111)/SUMIFS(Январь_2025[[#ALL],[Продажи/мес]],Январь_2025[[#ALL],[Филиал ТЦ]],B$98,Январь_2025[[#ALL],[Категория]],$A111), "нет категории")</f>
        <v>нет категории</v>
      </c>
      <c r="D111" s="64" t="str">
        <f>IF(B111&gt;0, SUMIFS(Январь_2025[[#ALL],[Выручка (руб/мес)]],Январь_2025[[#ALL],[Филиал ТЦ]],B$98,Январь_2025[[#ALL],[Категория]],$A111)/SUMIFS(Январь_2025[[#ALL],[Площадь (м²)]],Январь_2025[[#ALL],[Филиал ТЦ]],B$98,Январь_2025[[#ALL],[Категория]],$A111), "нет категории")</f>
        <v>нет категории</v>
      </c>
      <c r="E111" s="62">
        <f>SUMIFS(Январь_2025[[#ALL],[Площадь (м²)]],Январь_2025[[#ALL],[Филиал ТЦ]],E$98,Январь_2025[[#ALL],[Категория]],$A111)/SUMIFS(Январь_2025[[#ALL],[Площадь (м²)]],Январь_2025[[#ALL],[Филиал ТЦ]],E$98)</f>
        <v>0</v>
      </c>
      <c r="F111" s="63" t="str">
        <f>IF(E111&gt;0, SUMIFS(Январь_2025[[#ALL],[Выручка (руб/мес)]],Январь_2025[[#ALL],[Филиал ТЦ]],E$98,Январь_2025[[#ALL],[Категория]],$A111)/SUMIFS(Январь_2025[[#ALL],[Продажи/мес]],Январь_2025[[#ALL],[Филиал ТЦ]],E$98,Январь_2025[[#ALL],[Категория]],$A111), "нет категории")</f>
        <v>нет категории</v>
      </c>
      <c r="G111" s="64" t="str">
        <f>IF(E111&gt;0,SUMIFS(Январь_2025[[#ALL],[Выручка (руб/мес)]],Январь_2025[[#ALL],[Филиал ТЦ]],E$98,Январь_2025[[#ALL],[Категория]],$A111)/SUMIFS(Январь_2025[[#ALL],[Площадь (м²)]],Январь_2025[[#ALL],[Филиал ТЦ]],E$98,Январь_2025[[#ALL],[Категория]],$A111), "нет категории")</f>
        <v>нет категории</v>
      </c>
      <c r="H111" s="62">
        <f>SUMIFS(Январь_2025[[#ALL],[Площадь (м²)]],Январь_2025[[#ALL],[Филиал ТЦ]],H$98,Январь_2025[[#ALL],[Категория]],$A111)/SUMIFS(Январь_2025[[#ALL],[Площадь (м²)]],Январь_2025[[#ALL],[Филиал ТЦ]],H$98)</f>
        <v>0</v>
      </c>
      <c r="I111" s="63" t="str">
        <f>IF(H111&gt;0, SUMIFS(Январь_2025[[#ALL],[Выручка (руб/мес)]],Январь_2025[[#ALL],[Филиал ТЦ]],H$98,Январь_2025[[#ALL],[Категория]],$A111)/SUMIFS(Январь_2025[[#ALL],[Продажи/мес]],Январь_2025[[#ALL],[Филиал ТЦ]],H$98,Январь_2025[[#ALL],[Категория]],$A111), "нет категории")</f>
        <v>нет категории</v>
      </c>
      <c r="J111" s="64" t="str">
        <f>IF(H111&gt;0, SUMIFS(Январь_2025[[#ALL],[Выручка (руб/мес)]],Январь_2025[[#ALL],[Филиал ТЦ]],H$98,Январь_2025[[#ALL],[Категория]],$A111)/SUMIFS(Январь_2025[[#ALL],[Площадь (м²)]],Январь_2025[[#ALL],[Филиал ТЦ]],H$98,Январь_2025[[#ALL],[Категория]],$A111), "нет категории")</f>
        <v>нет категории</v>
      </c>
      <c r="K111" s="62">
        <f>SUMIFS(Январь_2025[[#ALL],[Площадь (м²)]],Январь_2025[[#ALL],[Филиал ТЦ]],K$98,Январь_2025[[#ALL],[Категория]],$A111)/SUMIFS(Январь_2025[[#ALL],[Площадь (м²)]],Январь_2025[[#ALL],[Филиал ТЦ]],K$98)</f>
        <v>0.2081545064</v>
      </c>
      <c r="L111" s="63" t="str">
        <f>IF(K111&gt;0, SUMIFS(Январь_2025[[#ALL],[Выручка (руб/мес)]],Январь_2025[[#ALL],[Филиал ТЦ]],K$98,Январь_2025[[#ALL],[Категория]],$A111)/SUMIFS(Январь_2025[[#ALL],[Продажи/мес]],Январь_2025[[#ALL],[Филиал ТЦ]],K$98,Январь_2025[[#ALL],[Категория]],$A111), "нет категории")</f>
        <v>#DIV/0!</v>
      </c>
      <c r="M111" s="64">
        <f>IF(K111&gt;0, SUMIFS(Январь_2025[[#ALL],[Выручка (руб/мес)]],Январь_2025[[#ALL],[Филиал ТЦ]],K$98,Январь_2025[[#ALL],[Категория]],$A111)/SUMIFS(Январь_2025[[#ALL],[Площадь (м²)]],Январь_2025[[#ALL],[Филиал ТЦ]],K$98,Январь_2025[[#ALL],[Категория]],$A111), "нет категории")</f>
        <v>0</v>
      </c>
    </row>
    <row r="112">
      <c r="A112" s="31"/>
      <c r="B112" s="31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</row>
    <row r="113">
      <c r="A113" s="31"/>
      <c r="B113" s="31"/>
      <c r="C113" s="28"/>
      <c r="D113" s="31"/>
      <c r="E113" s="28"/>
      <c r="F113" s="32"/>
      <c r="H113" s="28"/>
      <c r="I113" s="28"/>
      <c r="J113" s="28"/>
      <c r="K113" s="28"/>
      <c r="L113" s="28"/>
      <c r="M113" s="28"/>
    </row>
  </sheetData>
  <mergeCells count="4">
    <mergeCell ref="B98:D98"/>
    <mergeCell ref="E98:G98"/>
    <mergeCell ref="H98:J98"/>
    <mergeCell ref="K98:M98"/>
  </mergeCells>
  <conditionalFormatting sqref="B100:B111">
    <cfRule type="colorScale" priority="1">
      <colorScale>
        <cfvo type="min"/>
        <cfvo type="max"/>
        <color rgb="FFFFFFFF"/>
        <color rgb="FFD9E2F3"/>
      </colorScale>
    </cfRule>
  </conditionalFormatting>
  <conditionalFormatting sqref="E100:E111">
    <cfRule type="colorScale" priority="2">
      <colorScale>
        <cfvo type="min"/>
        <cfvo type="max"/>
        <color rgb="FFFFFFFF"/>
        <color rgb="FFD9E2F3"/>
      </colorScale>
    </cfRule>
  </conditionalFormatting>
  <conditionalFormatting sqref="H100:H111">
    <cfRule type="colorScale" priority="3">
      <colorScale>
        <cfvo type="min"/>
        <cfvo type="max"/>
        <color rgb="FFFFFFFF"/>
        <color rgb="FFD9E2F3"/>
      </colorScale>
    </cfRule>
  </conditionalFormatting>
  <conditionalFormatting sqref="K100:K111">
    <cfRule type="colorScale" priority="4">
      <colorScale>
        <cfvo type="min"/>
        <cfvo type="max"/>
        <color rgb="FFFFFFFF"/>
        <color rgb="FFD9E2F3"/>
      </colorScale>
    </cfRule>
  </conditionalFormatting>
  <conditionalFormatting sqref="C100:C111 F100:F111 I100:I111 L100:L111">
    <cfRule type="colorScale" priority="5">
      <colorScale>
        <cfvo type="min"/>
        <cfvo type="max"/>
        <color rgb="FFFFFFFF"/>
        <color rgb="FFCCCCCC"/>
      </colorScale>
    </cfRule>
  </conditionalFormatting>
  <conditionalFormatting sqref="C100:C111 F100:F111 I100:I111 L100:L111">
    <cfRule type="colorScale" priority="6">
      <colorScale>
        <cfvo type="min"/>
        <cfvo type="max"/>
        <color rgb="FFFFFFFF"/>
        <color rgb="FFCCCCCC"/>
      </colorScale>
    </cfRule>
  </conditionalFormatting>
  <conditionalFormatting sqref="I100:I111 L100:L111">
    <cfRule type="colorScale" priority="7">
      <colorScale>
        <cfvo type="min"/>
        <cfvo type="max"/>
        <color rgb="FFFFFFFF"/>
        <color rgb="FFD9D9D9"/>
      </colorScale>
    </cfRule>
  </conditionalFormatting>
  <conditionalFormatting sqref="L100:L111">
    <cfRule type="colorScale" priority="8">
      <colorScale>
        <cfvo type="min"/>
        <cfvo type="max"/>
        <color rgb="FFFFFFFF"/>
        <color rgb="FFD9D9D9"/>
      </colorScale>
    </cfRule>
  </conditionalFormatting>
  <conditionalFormatting sqref="D100:D111 G100:G111 J100:J111 M100:M111">
    <cfRule type="colorScale" priority="9">
      <colorScale>
        <cfvo type="min"/>
        <cfvo type="max"/>
        <color rgb="FFFFFFFF"/>
        <color rgb="FFD9EAD3"/>
      </colorScale>
    </cfRule>
  </conditionalFormatting>
  <conditionalFormatting sqref="D100:D111 G100:G112 J100:J111 M100:M111">
    <cfRule type="colorScale" priority="10">
      <colorScale>
        <cfvo type="min"/>
        <cfvo type="max"/>
        <color rgb="FFFFFFFF"/>
        <color rgb="FFD9EAD3"/>
      </colorScale>
    </cfRule>
  </conditionalFormatting>
  <conditionalFormatting sqref="J100:J111 M100:M111">
    <cfRule type="colorScale" priority="11">
      <colorScale>
        <cfvo type="min"/>
        <cfvo type="max"/>
        <color rgb="FFFFFFFF"/>
        <color rgb="FFD9EAD3"/>
      </colorScale>
    </cfRule>
  </conditionalFormatting>
  <conditionalFormatting sqref="M100:M111">
    <cfRule type="colorScale" priority="12">
      <colorScale>
        <cfvo type="min"/>
        <cfvo type="max"/>
        <color rgb="FFFFFFFF"/>
        <color rgb="FFD9EAD3"/>
      </colorScale>
    </cfRule>
  </conditionalFormatting>
  <dataValidations>
    <dataValidation type="list" allowBlank="1" sqref="A2:A80">
      <formula1>"Мебельный Плаза,Гранд Интерьер,Дом Будущего,Уютный Квартал"</formula1>
    </dataValidation>
    <dataValidation type="list" allowBlank="1" sqref="D2:D80">
      <formula1>"Кухонная мебель,Мягкая мебель,Столы и стулья,Предметы интерьера,Детская мебель,Корпусная мебель,Офисная мебель,Кровати и матрасы,Уличная мебель,Двери,Техника,Пустой"</formula1>
    </dataValidation>
    <dataValidation type="custom" allowBlank="1" showDropDown="1" sqref="E2:I80 B91:B94 F91:I94">
      <formula1>AND(ISNUMBER(B2),(NOT(OR(NOT(ISERROR(DATEVALUE(B2))), AND(ISNUMBER(B2), LEFT(CELL("format", B2))="D")))))</formula1>
    </dataValidation>
  </dataValidations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43"/>
    <col customWidth="1" min="2" max="2" width="18.14"/>
    <col customWidth="1" min="3" max="3" width="20.86"/>
    <col customWidth="1" min="4" max="4" width="21.43"/>
    <col customWidth="1" min="5" max="5" width="18.57"/>
    <col customWidth="1" min="6" max="6" width="19.29"/>
    <col customWidth="1" min="7" max="7" width="21.57"/>
    <col customWidth="1" min="8" max="8" width="21.0"/>
    <col customWidth="1" min="9" max="9" width="21.86"/>
    <col customWidth="1" min="10" max="10" width="18.43"/>
    <col customWidth="1" min="11" max="11" width="17.0"/>
    <col customWidth="1" min="12" max="12" width="18.86"/>
    <col customWidth="1" min="13" max="13" width="19.0"/>
  </cols>
  <sheetData>
    <row r="1">
      <c r="A1" s="1" t="s">
        <v>0</v>
      </c>
      <c r="B1" s="1" t="s">
        <v>1</v>
      </c>
      <c r="C1" s="1" t="s">
        <v>178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s">
        <v>10</v>
      </c>
      <c r="C2" s="3" t="s">
        <v>11</v>
      </c>
      <c r="D2" s="4" t="s">
        <v>12</v>
      </c>
      <c r="E2" s="5">
        <v>401.0</v>
      </c>
      <c r="F2" s="5">
        <v>140.0</v>
      </c>
      <c r="G2" s="5">
        <v>69.0</v>
      </c>
      <c r="H2" s="6">
        <v>990000.0</v>
      </c>
      <c r="I2" s="7">
        <v>40000.0</v>
      </c>
    </row>
    <row r="3">
      <c r="A3" s="2" t="s">
        <v>13</v>
      </c>
      <c r="B3" s="3" t="s">
        <v>14</v>
      </c>
      <c r="C3" s="3" t="s">
        <v>15</v>
      </c>
      <c r="D3" s="4" t="s">
        <v>12</v>
      </c>
      <c r="E3" s="5">
        <v>102.0</v>
      </c>
      <c r="F3" s="5">
        <v>130.0</v>
      </c>
      <c r="G3" s="5">
        <v>53.0</v>
      </c>
      <c r="H3" s="6">
        <v>1020000.0</v>
      </c>
      <c r="I3" s="7">
        <v>0.0</v>
      </c>
    </row>
    <row r="4">
      <c r="A4" s="2" t="s">
        <v>16</v>
      </c>
      <c r="B4" s="3" t="s">
        <v>17</v>
      </c>
      <c r="C4" s="3" t="s">
        <v>18</v>
      </c>
      <c r="D4" s="4" t="s">
        <v>12</v>
      </c>
      <c r="E4" s="5">
        <v>201.0</v>
      </c>
      <c r="F4" s="5">
        <v>150.0</v>
      </c>
      <c r="G4" s="5">
        <v>70.0</v>
      </c>
      <c r="H4" s="6">
        <v>1275000.0</v>
      </c>
      <c r="I4" s="7">
        <v>0.0</v>
      </c>
    </row>
    <row r="5">
      <c r="A5" s="2" t="s">
        <v>19</v>
      </c>
      <c r="B5" s="3" t="s">
        <v>20</v>
      </c>
      <c r="C5" s="3" t="s">
        <v>21</v>
      </c>
      <c r="D5" s="4" t="s">
        <v>12</v>
      </c>
      <c r="E5" s="5">
        <v>319.0</v>
      </c>
      <c r="F5" s="5">
        <v>120.0</v>
      </c>
      <c r="G5" s="5">
        <v>60.0</v>
      </c>
      <c r="H5" s="6">
        <v>900000.0</v>
      </c>
      <c r="I5" s="7">
        <v>0.0</v>
      </c>
    </row>
    <row r="6">
      <c r="A6" s="2" t="s">
        <v>9</v>
      </c>
      <c r="B6" s="3" t="s">
        <v>22</v>
      </c>
      <c r="C6" s="3" t="s">
        <v>23</v>
      </c>
      <c r="D6" s="4" t="s">
        <v>24</v>
      </c>
      <c r="E6" s="5">
        <v>403.0</v>
      </c>
      <c r="F6" s="5">
        <v>130.0</v>
      </c>
      <c r="G6" s="5">
        <v>45.0</v>
      </c>
      <c r="H6" s="6">
        <v>830000.0</v>
      </c>
      <c r="I6" s="7">
        <v>32000.0</v>
      </c>
    </row>
    <row r="7">
      <c r="A7" s="8" t="s">
        <v>9</v>
      </c>
      <c r="B7" s="3" t="s">
        <v>25</v>
      </c>
      <c r="C7" s="9" t="s">
        <v>26</v>
      </c>
      <c r="D7" s="10" t="s">
        <v>24</v>
      </c>
      <c r="E7" s="5">
        <v>405.0</v>
      </c>
      <c r="F7" s="11">
        <v>50.0</v>
      </c>
      <c r="G7" s="11">
        <v>5.0</v>
      </c>
      <c r="H7" s="12">
        <v>800000.0</v>
      </c>
      <c r="I7" s="13">
        <v>3000.0</v>
      </c>
    </row>
    <row r="8">
      <c r="A8" s="2" t="s">
        <v>13</v>
      </c>
      <c r="B8" s="3" t="s">
        <v>27</v>
      </c>
      <c r="C8" s="3" t="s">
        <v>28</v>
      </c>
      <c r="D8" s="4" t="s">
        <v>24</v>
      </c>
      <c r="E8" s="5">
        <v>104.0</v>
      </c>
      <c r="F8" s="5">
        <v>96.0</v>
      </c>
      <c r="G8" s="5">
        <v>10.0</v>
      </c>
      <c r="H8" s="6">
        <v>800000.0</v>
      </c>
      <c r="I8" s="7">
        <v>0.0</v>
      </c>
    </row>
    <row r="9">
      <c r="A9" s="14" t="s">
        <v>13</v>
      </c>
      <c r="B9" s="3" t="s">
        <v>29</v>
      </c>
      <c r="C9" s="9" t="s">
        <v>30</v>
      </c>
      <c r="D9" s="10" t="s">
        <v>24</v>
      </c>
      <c r="E9" s="5">
        <v>106.0</v>
      </c>
      <c r="F9" s="11">
        <v>53.0</v>
      </c>
      <c r="G9" s="11">
        <v>4.0</v>
      </c>
      <c r="H9" s="12">
        <v>700000.0</v>
      </c>
      <c r="I9" s="13">
        <v>0.0</v>
      </c>
    </row>
    <row r="10">
      <c r="A10" s="2" t="s">
        <v>16</v>
      </c>
      <c r="B10" s="3" t="s">
        <v>31</v>
      </c>
      <c r="C10" s="3" t="s">
        <v>26</v>
      </c>
      <c r="D10" s="4" t="s">
        <v>24</v>
      </c>
      <c r="E10" s="5">
        <v>202.0</v>
      </c>
      <c r="F10" s="5">
        <v>140.0</v>
      </c>
      <c r="G10" s="5">
        <v>10.0</v>
      </c>
      <c r="H10" s="6">
        <v>800000.0</v>
      </c>
      <c r="I10" s="7">
        <v>0.0</v>
      </c>
    </row>
    <row r="11">
      <c r="A11" s="15" t="s">
        <v>16</v>
      </c>
      <c r="B11" s="3" t="s">
        <v>32</v>
      </c>
      <c r="C11" s="16" t="s">
        <v>33</v>
      </c>
      <c r="D11" s="10" t="s">
        <v>24</v>
      </c>
      <c r="E11" s="5">
        <v>203.0</v>
      </c>
      <c r="F11" s="11">
        <v>91.0</v>
      </c>
      <c r="G11" s="11">
        <v>30.0</v>
      </c>
      <c r="H11" s="12">
        <v>1400000.0</v>
      </c>
      <c r="I11" s="13">
        <v>0.0</v>
      </c>
    </row>
    <row r="12">
      <c r="A12" s="17" t="s">
        <v>19</v>
      </c>
      <c r="B12" s="3" t="s">
        <v>36</v>
      </c>
      <c r="C12" s="9" t="s">
        <v>37</v>
      </c>
      <c r="D12" s="10" t="s">
        <v>24</v>
      </c>
      <c r="E12" s="5">
        <v>317.0</v>
      </c>
      <c r="F12" s="11">
        <v>42.0</v>
      </c>
      <c r="G12" s="11">
        <v>3.0</v>
      </c>
      <c r="H12" s="12">
        <v>560000.0</v>
      </c>
      <c r="I12" s="13">
        <v>0.0</v>
      </c>
    </row>
    <row r="13">
      <c r="A13" s="2" t="s">
        <v>19</v>
      </c>
      <c r="B13" s="3" t="s">
        <v>34</v>
      </c>
      <c r="C13" s="3" t="s">
        <v>35</v>
      </c>
      <c r="D13" s="4" t="s">
        <v>24</v>
      </c>
      <c r="E13" s="5">
        <v>318.0</v>
      </c>
      <c r="F13" s="5">
        <v>110.0</v>
      </c>
      <c r="G13" s="5">
        <v>50.0</v>
      </c>
      <c r="H13" s="6">
        <v>900000.0</v>
      </c>
      <c r="I13" s="7">
        <v>0.0</v>
      </c>
    </row>
    <row r="14">
      <c r="A14" s="2" t="s">
        <v>9</v>
      </c>
      <c r="B14" s="3" t="s">
        <v>38</v>
      </c>
      <c r="C14" s="3" t="s">
        <v>39</v>
      </c>
      <c r="D14" s="4" t="s">
        <v>40</v>
      </c>
      <c r="E14" s="5">
        <v>419.0</v>
      </c>
      <c r="F14" s="5">
        <v>190.0</v>
      </c>
      <c r="G14" s="5">
        <v>37.0</v>
      </c>
      <c r="H14" s="6">
        <v>2300000.0</v>
      </c>
      <c r="I14" s="7">
        <v>23000.0</v>
      </c>
    </row>
    <row r="15">
      <c r="A15" s="2" t="s">
        <v>9</v>
      </c>
      <c r="B15" s="3" t="s">
        <v>41</v>
      </c>
      <c r="C15" s="3" t="s">
        <v>42</v>
      </c>
      <c r="D15" s="4" t="s">
        <v>40</v>
      </c>
      <c r="E15" s="5">
        <v>430.0</v>
      </c>
      <c r="F15" s="5">
        <v>255.0</v>
      </c>
      <c r="G15" s="5">
        <v>35.0</v>
      </c>
      <c r="H15" s="6">
        <v>2500000.0</v>
      </c>
      <c r="I15" s="7">
        <v>0.0</v>
      </c>
    </row>
    <row r="16">
      <c r="A16" s="2" t="s">
        <v>13</v>
      </c>
      <c r="B16" s="3" t="s">
        <v>43</v>
      </c>
      <c r="C16" s="3" t="s">
        <v>44</v>
      </c>
      <c r="D16" s="4" t="s">
        <v>40</v>
      </c>
      <c r="E16" s="5">
        <v>120.0</v>
      </c>
      <c r="F16" s="5">
        <v>180.0</v>
      </c>
      <c r="G16" s="5">
        <v>19.0</v>
      </c>
      <c r="H16" s="6">
        <v>1700000.0</v>
      </c>
      <c r="I16" s="7">
        <v>20000.0</v>
      </c>
    </row>
    <row r="17">
      <c r="A17" s="2" t="s">
        <v>13</v>
      </c>
      <c r="B17" s="3" t="s">
        <v>45</v>
      </c>
      <c r="C17" s="16" t="s">
        <v>46</v>
      </c>
      <c r="D17" s="4" t="s">
        <v>40</v>
      </c>
      <c r="E17" s="5">
        <v>135.0</v>
      </c>
      <c r="F17" s="5">
        <v>66.0</v>
      </c>
      <c r="G17" s="5">
        <v>10.0</v>
      </c>
      <c r="H17" s="6">
        <v>1000000.0</v>
      </c>
      <c r="I17" s="7">
        <v>0.0</v>
      </c>
    </row>
    <row r="18">
      <c r="A18" s="2" t="s">
        <v>16</v>
      </c>
      <c r="B18" s="3" t="s">
        <v>47</v>
      </c>
      <c r="C18" s="3" t="s">
        <v>48</v>
      </c>
      <c r="D18" s="4" t="s">
        <v>40</v>
      </c>
      <c r="E18" s="5">
        <v>210.0</v>
      </c>
      <c r="F18" s="5">
        <v>200.0</v>
      </c>
      <c r="G18" s="5">
        <v>34.0</v>
      </c>
      <c r="H18" s="6">
        <v>2400000.0</v>
      </c>
      <c r="I18" s="7">
        <v>0.0</v>
      </c>
    </row>
    <row r="19">
      <c r="A19" s="2" t="s">
        <v>16</v>
      </c>
      <c r="B19" s="3" t="s">
        <v>49</v>
      </c>
      <c r="C19" s="16" t="s">
        <v>50</v>
      </c>
      <c r="D19" s="4" t="s">
        <v>40</v>
      </c>
      <c r="E19" s="5">
        <v>220.0</v>
      </c>
      <c r="F19" s="5">
        <v>96.0</v>
      </c>
      <c r="G19" s="5">
        <v>18.0</v>
      </c>
      <c r="H19" s="6">
        <v>1800000.0</v>
      </c>
      <c r="I19" s="7">
        <v>18460.0</v>
      </c>
    </row>
    <row r="20">
      <c r="A20" s="2" t="s">
        <v>19</v>
      </c>
      <c r="B20" s="3" t="s">
        <v>51</v>
      </c>
      <c r="C20" s="3" t="s">
        <v>52</v>
      </c>
      <c r="D20" s="4" t="s">
        <v>40</v>
      </c>
      <c r="E20" s="5">
        <v>310.0</v>
      </c>
      <c r="F20" s="5">
        <v>170.0</v>
      </c>
      <c r="G20" s="5">
        <v>16.0</v>
      </c>
      <c r="H20" s="6">
        <v>2465000.0</v>
      </c>
      <c r="I20" s="7">
        <v>150000.0</v>
      </c>
    </row>
    <row r="21">
      <c r="A21" s="2" t="s">
        <v>19</v>
      </c>
      <c r="B21" s="3" t="s">
        <v>53</v>
      </c>
      <c r="C21" s="16" t="s">
        <v>54</v>
      </c>
      <c r="D21" s="4" t="s">
        <v>40</v>
      </c>
      <c r="E21" s="5">
        <v>434.0</v>
      </c>
      <c r="F21" s="5">
        <v>46.0</v>
      </c>
      <c r="G21" s="5">
        <v>10.0</v>
      </c>
      <c r="H21" s="6">
        <v>1300000.0</v>
      </c>
      <c r="I21" s="7">
        <v>0.0</v>
      </c>
    </row>
    <row r="22">
      <c r="A22" s="2" t="s">
        <v>16</v>
      </c>
      <c r="B22" s="3" t="s">
        <v>55</v>
      </c>
      <c r="C22" s="3" t="s">
        <v>56</v>
      </c>
      <c r="D22" s="4" t="s">
        <v>57</v>
      </c>
      <c r="E22" s="5">
        <v>204.0</v>
      </c>
      <c r="F22" s="5">
        <v>170.0</v>
      </c>
      <c r="G22" s="5">
        <v>65.0</v>
      </c>
      <c r="H22" s="6">
        <v>1100000.0</v>
      </c>
      <c r="I22" s="7">
        <v>0.0</v>
      </c>
    </row>
    <row r="23">
      <c r="A23" s="2" t="s">
        <v>16</v>
      </c>
      <c r="B23" s="3" t="s">
        <v>58</v>
      </c>
      <c r="C23" s="16" t="s">
        <v>59</v>
      </c>
      <c r="D23" s="4" t="s">
        <v>57</v>
      </c>
      <c r="E23" s="5">
        <v>205.0</v>
      </c>
      <c r="F23" s="5">
        <v>620.0</v>
      </c>
      <c r="G23" s="5">
        <v>44.0</v>
      </c>
      <c r="H23" s="6">
        <v>6900000.0</v>
      </c>
      <c r="I23" s="7">
        <v>0.0</v>
      </c>
    </row>
    <row r="24">
      <c r="A24" s="2" t="s">
        <v>19</v>
      </c>
      <c r="B24" s="3" t="s">
        <v>62</v>
      </c>
      <c r="C24" s="16" t="s">
        <v>59</v>
      </c>
      <c r="D24" s="4" t="s">
        <v>57</v>
      </c>
      <c r="E24" s="5">
        <v>315.0</v>
      </c>
      <c r="F24" s="5">
        <v>45.0</v>
      </c>
      <c r="G24" s="5">
        <v>16.0</v>
      </c>
      <c r="H24" s="6">
        <v>475000.0</v>
      </c>
      <c r="I24" s="7">
        <v>0.0</v>
      </c>
    </row>
    <row r="25">
      <c r="A25" s="2" t="s">
        <v>19</v>
      </c>
      <c r="B25" s="3" t="s">
        <v>60</v>
      </c>
      <c r="C25" s="3" t="s">
        <v>61</v>
      </c>
      <c r="D25" s="4" t="s">
        <v>57</v>
      </c>
      <c r="E25" s="5">
        <v>316.0</v>
      </c>
      <c r="F25" s="5">
        <v>92.0</v>
      </c>
      <c r="G25" s="5">
        <v>9.0</v>
      </c>
      <c r="H25" s="6">
        <v>419000.0</v>
      </c>
      <c r="I25" s="7">
        <v>0.0</v>
      </c>
    </row>
    <row r="26">
      <c r="A26" s="2" t="s">
        <v>9</v>
      </c>
      <c r="B26" s="3" t="s">
        <v>63</v>
      </c>
      <c r="C26" s="3" t="s">
        <v>64</v>
      </c>
      <c r="D26" s="4" t="s">
        <v>65</v>
      </c>
      <c r="E26" s="5">
        <v>431.0</v>
      </c>
      <c r="F26" s="5">
        <v>170.0</v>
      </c>
      <c r="G26" s="5">
        <v>18.0</v>
      </c>
      <c r="H26" s="6">
        <v>2400000.0</v>
      </c>
      <c r="I26" s="7">
        <v>0.0</v>
      </c>
    </row>
    <row r="27">
      <c r="A27" s="2" t="s">
        <v>9</v>
      </c>
      <c r="B27" s="3" t="s">
        <v>66</v>
      </c>
      <c r="C27" s="16" t="s">
        <v>67</v>
      </c>
      <c r="D27" s="4" t="s">
        <v>65</v>
      </c>
      <c r="E27" s="5">
        <v>433.0</v>
      </c>
      <c r="F27" s="18">
        <v>66.0</v>
      </c>
      <c r="G27" s="18">
        <v>1.0</v>
      </c>
      <c r="H27" s="19">
        <v>500000.0</v>
      </c>
      <c r="I27" s="20">
        <v>60000.0</v>
      </c>
    </row>
    <row r="28">
      <c r="A28" s="2" t="s">
        <v>9</v>
      </c>
      <c r="B28" s="3" t="s">
        <v>68</v>
      </c>
      <c r="C28" s="16" t="s">
        <v>69</v>
      </c>
      <c r="D28" s="4" t="s">
        <v>65</v>
      </c>
      <c r="E28" s="5">
        <v>435.0</v>
      </c>
      <c r="F28" s="18">
        <v>80.0</v>
      </c>
      <c r="G28" s="18">
        <v>3.0</v>
      </c>
      <c r="H28" s="19">
        <v>470000.0</v>
      </c>
      <c r="I28" s="20">
        <v>0.0</v>
      </c>
    </row>
    <row r="29">
      <c r="A29" s="2" t="s">
        <v>9</v>
      </c>
      <c r="B29" s="3" t="s">
        <v>70</v>
      </c>
      <c r="C29" s="16" t="s">
        <v>71</v>
      </c>
      <c r="D29" s="4" t="s">
        <v>65</v>
      </c>
      <c r="E29" s="5">
        <v>437.0</v>
      </c>
      <c r="F29" s="18">
        <v>45.0</v>
      </c>
      <c r="G29" s="18">
        <v>6.0</v>
      </c>
      <c r="H29" s="19">
        <v>300000.0</v>
      </c>
      <c r="I29" s="20">
        <v>15000.0</v>
      </c>
    </row>
    <row r="30">
      <c r="A30" s="2" t="s">
        <v>13</v>
      </c>
      <c r="B30" s="3" t="s">
        <v>72</v>
      </c>
      <c r="C30" s="3" t="s">
        <v>67</v>
      </c>
      <c r="D30" s="4" t="s">
        <v>65</v>
      </c>
      <c r="E30" s="5">
        <v>132.0</v>
      </c>
      <c r="F30" s="5">
        <v>160.0</v>
      </c>
      <c r="G30" s="5">
        <v>15.0</v>
      </c>
      <c r="H30" s="6">
        <v>1900000.0</v>
      </c>
      <c r="I30" s="7">
        <v>0.0</v>
      </c>
    </row>
    <row r="31">
      <c r="A31" s="2" t="s">
        <v>13</v>
      </c>
      <c r="B31" s="3" t="s">
        <v>73</v>
      </c>
      <c r="C31" s="16" t="s">
        <v>74</v>
      </c>
      <c r="D31" s="4" t="s">
        <v>65</v>
      </c>
      <c r="E31" s="5">
        <v>134.0</v>
      </c>
      <c r="F31" s="18">
        <v>15.0</v>
      </c>
      <c r="G31" s="18">
        <v>4.0</v>
      </c>
      <c r="H31" s="19">
        <v>160000.0</v>
      </c>
      <c r="I31" s="20">
        <v>0.0</v>
      </c>
    </row>
    <row r="32">
      <c r="A32" s="2" t="s">
        <v>13</v>
      </c>
      <c r="B32" s="3" t="s">
        <v>75</v>
      </c>
      <c r="C32" s="16" t="s">
        <v>67</v>
      </c>
      <c r="D32" s="4" t="s">
        <v>65</v>
      </c>
      <c r="E32" s="5">
        <v>136.0</v>
      </c>
      <c r="F32" s="18">
        <v>80.0</v>
      </c>
      <c r="G32" s="18">
        <v>9.0</v>
      </c>
      <c r="H32" s="19">
        <v>1200000.0</v>
      </c>
      <c r="I32" s="20">
        <v>0.0</v>
      </c>
    </row>
    <row r="33">
      <c r="A33" s="2" t="s">
        <v>13</v>
      </c>
      <c r="B33" s="3" t="s">
        <v>76</v>
      </c>
      <c r="C33" s="3" t="s">
        <v>77</v>
      </c>
      <c r="D33" s="4" t="s">
        <v>65</v>
      </c>
      <c r="E33" s="5">
        <v>138.0</v>
      </c>
      <c r="F33" s="18">
        <v>65.0</v>
      </c>
      <c r="G33" s="18">
        <v>0.0</v>
      </c>
      <c r="H33" s="19">
        <v>0.0</v>
      </c>
      <c r="I33" s="20">
        <v>100000.0</v>
      </c>
    </row>
    <row r="34">
      <c r="A34" s="2" t="s">
        <v>16</v>
      </c>
      <c r="B34" s="3" t="s">
        <v>78</v>
      </c>
      <c r="C34" s="3" t="s">
        <v>79</v>
      </c>
      <c r="D34" s="4" t="s">
        <v>65</v>
      </c>
      <c r="E34" s="5">
        <v>216.0</v>
      </c>
      <c r="F34" s="5">
        <v>180.0</v>
      </c>
      <c r="G34" s="5">
        <v>31.0</v>
      </c>
      <c r="H34" s="6">
        <v>3420000.0</v>
      </c>
      <c r="I34" s="7">
        <v>150000.0</v>
      </c>
    </row>
    <row r="35">
      <c r="A35" s="2" t="s">
        <v>16</v>
      </c>
      <c r="B35" s="3" t="s">
        <v>80</v>
      </c>
      <c r="C35" s="3" t="s">
        <v>81</v>
      </c>
      <c r="D35" s="4" t="s">
        <v>65</v>
      </c>
      <c r="E35" s="5">
        <v>217.0</v>
      </c>
      <c r="F35" s="18">
        <v>90.0</v>
      </c>
      <c r="G35" s="18">
        <v>4.0</v>
      </c>
      <c r="H35" s="19">
        <v>2400000.0</v>
      </c>
      <c r="I35" s="20">
        <v>0.0</v>
      </c>
    </row>
    <row r="36">
      <c r="A36" s="2" t="s">
        <v>16</v>
      </c>
      <c r="B36" s="3" t="s">
        <v>82</v>
      </c>
      <c r="C36" s="3" t="s">
        <v>77</v>
      </c>
      <c r="D36" s="4" t="s">
        <v>65</v>
      </c>
      <c r="E36" s="5">
        <v>218.0</v>
      </c>
      <c r="F36" s="18">
        <v>90.0</v>
      </c>
      <c r="G36" s="18">
        <v>0.0</v>
      </c>
      <c r="H36" s="19">
        <v>0.0</v>
      </c>
      <c r="I36" s="20">
        <v>500000.0</v>
      </c>
    </row>
    <row r="37">
      <c r="A37" s="2" t="s">
        <v>16</v>
      </c>
      <c r="B37" s="3" t="s">
        <v>83</v>
      </c>
      <c r="C37" s="3" t="s">
        <v>84</v>
      </c>
      <c r="D37" s="4" t="s">
        <v>65</v>
      </c>
      <c r="E37" s="5">
        <v>219.0</v>
      </c>
      <c r="F37" s="18">
        <v>90.0</v>
      </c>
      <c r="G37" s="18">
        <v>2.0</v>
      </c>
      <c r="H37" s="19">
        <v>1750000.0</v>
      </c>
      <c r="I37" s="20">
        <v>50000.0</v>
      </c>
    </row>
    <row r="38">
      <c r="A38" s="2" t="s">
        <v>19</v>
      </c>
      <c r="B38" s="3" t="s">
        <v>90</v>
      </c>
      <c r="C38" s="3" t="s">
        <v>81</v>
      </c>
      <c r="D38" s="4" t="s">
        <v>65</v>
      </c>
      <c r="E38" s="5">
        <v>301.0</v>
      </c>
      <c r="F38" s="18">
        <v>60.0</v>
      </c>
      <c r="G38" s="18">
        <v>7.0</v>
      </c>
      <c r="H38" s="19">
        <v>900000.0</v>
      </c>
      <c r="I38" s="20">
        <v>0.0</v>
      </c>
    </row>
    <row r="39">
      <c r="A39" s="2" t="s">
        <v>19</v>
      </c>
      <c r="B39" s="3" t="s">
        <v>88</v>
      </c>
      <c r="C39" s="16" t="s">
        <v>89</v>
      </c>
      <c r="D39" s="4" t="s">
        <v>65</v>
      </c>
      <c r="E39" s="5">
        <v>302.0</v>
      </c>
      <c r="F39" s="18">
        <v>90.0</v>
      </c>
      <c r="G39" s="18">
        <v>17.0</v>
      </c>
      <c r="H39" s="19">
        <v>3800000.0</v>
      </c>
      <c r="I39" s="20">
        <v>0.0</v>
      </c>
    </row>
    <row r="40">
      <c r="A40" s="2" t="s">
        <v>19</v>
      </c>
      <c r="B40" s="3" t="s">
        <v>87</v>
      </c>
      <c r="C40" s="16" t="s">
        <v>69</v>
      </c>
      <c r="D40" s="4" t="s">
        <v>65</v>
      </c>
      <c r="E40" s="5">
        <v>303.0</v>
      </c>
      <c r="F40" s="18">
        <v>40.0</v>
      </c>
      <c r="G40" s="18">
        <v>2.0</v>
      </c>
      <c r="H40" s="19">
        <v>1900000.0</v>
      </c>
      <c r="I40" s="20">
        <v>10000.0</v>
      </c>
    </row>
    <row r="41">
      <c r="A41" s="2" t="s">
        <v>19</v>
      </c>
      <c r="B41" s="3" t="s">
        <v>85</v>
      </c>
      <c r="C41" s="3" t="s">
        <v>86</v>
      </c>
      <c r="D41" s="4" t="s">
        <v>65</v>
      </c>
      <c r="E41" s="5">
        <v>304.0</v>
      </c>
      <c r="F41" s="5">
        <v>150.0</v>
      </c>
      <c r="G41" s="5">
        <v>21.0</v>
      </c>
      <c r="H41" s="6">
        <v>1750000.0</v>
      </c>
      <c r="I41" s="7">
        <v>0.0</v>
      </c>
    </row>
    <row r="42">
      <c r="A42" s="2" t="s">
        <v>9</v>
      </c>
      <c r="B42" s="3" t="s">
        <v>91</v>
      </c>
      <c r="C42" s="3" t="s">
        <v>92</v>
      </c>
      <c r="D42" s="4" t="s">
        <v>93</v>
      </c>
      <c r="E42" s="5">
        <v>411.0</v>
      </c>
      <c r="F42" s="5">
        <v>210.0</v>
      </c>
      <c r="G42" s="5">
        <v>91.0</v>
      </c>
      <c r="H42" s="6">
        <v>2700000.0</v>
      </c>
      <c r="I42" s="7">
        <v>0.0</v>
      </c>
    </row>
    <row r="43">
      <c r="A43" s="2" t="s">
        <v>9</v>
      </c>
      <c r="B43" s="3" t="s">
        <v>94</v>
      </c>
      <c r="C43" s="16" t="s">
        <v>95</v>
      </c>
      <c r="D43" s="4" t="s">
        <v>93</v>
      </c>
      <c r="E43" s="5">
        <v>413.0</v>
      </c>
      <c r="F43" s="5">
        <v>70.0</v>
      </c>
      <c r="G43" s="5">
        <v>20.0</v>
      </c>
      <c r="H43" s="6">
        <v>970000.0</v>
      </c>
      <c r="I43" s="7">
        <v>0.0</v>
      </c>
    </row>
    <row r="44">
      <c r="A44" s="2" t="s">
        <v>9</v>
      </c>
      <c r="B44" s="3" t="s">
        <v>96</v>
      </c>
      <c r="C44" s="16" t="s">
        <v>97</v>
      </c>
      <c r="D44" s="4" t="s">
        <v>93</v>
      </c>
      <c r="E44" s="5">
        <v>415.0</v>
      </c>
      <c r="F44" s="5">
        <v>70.0</v>
      </c>
      <c r="G44" s="5">
        <v>5.0</v>
      </c>
      <c r="H44" s="6">
        <v>3700000.0</v>
      </c>
      <c r="I44" s="7">
        <v>0.0</v>
      </c>
    </row>
    <row r="45">
      <c r="A45" s="2" t="s">
        <v>9</v>
      </c>
      <c r="B45" s="3" t="s">
        <v>98</v>
      </c>
      <c r="C45" s="16" t="s">
        <v>99</v>
      </c>
      <c r="D45" s="4" t="s">
        <v>93</v>
      </c>
      <c r="E45" s="5">
        <v>417.0</v>
      </c>
      <c r="F45" s="5">
        <v>70.0</v>
      </c>
      <c r="G45" s="5">
        <v>10.0</v>
      </c>
      <c r="H45" s="6">
        <v>800000.0</v>
      </c>
      <c r="I45" s="7">
        <v>15000.0</v>
      </c>
    </row>
    <row r="46">
      <c r="A46" s="2" t="s">
        <v>13</v>
      </c>
      <c r="B46" s="3" t="s">
        <v>100</v>
      </c>
      <c r="C46" s="3" t="s">
        <v>101</v>
      </c>
      <c r="D46" s="4" t="s">
        <v>93</v>
      </c>
      <c r="E46" s="5">
        <v>112.0</v>
      </c>
      <c r="F46" s="5">
        <v>200.0</v>
      </c>
      <c r="G46" s="5">
        <v>90.0</v>
      </c>
      <c r="H46" s="6">
        <v>3000000.0</v>
      </c>
      <c r="I46" s="7">
        <v>80000.0</v>
      </c>
    </row>
    <row r="47">
      <c r="A47" s="2" t="s">
        <v>13</v>
      </c>
      <c r="B47" s="3" t="s">
        <v>102</v>
      </c>
      <c r="C47" s="16" t="s">
        <v>99</v>
      </c>
      <c r="D47" s="4" t="s">
        <v>93</v>
      </c>
      <c r="E47" s="5">
        <v>114.0</v>
      </c>
      <c r="F47" s="5">
        <v>50.0</v>
      </c>
      <c r="G47" s="5">
        <v>7.0</v>
      </c>
      <c r="H47" s="6">
        <v>710000.0</v>
      </c>
      <c r="I47" s="7">
        <v>0.0</v>
      </c>
    </row>
    <row r="48">
      <c r="A48" s="2" t="s">
        <v>13</v>
      </c>
      <c r="B48" s="3" t="s">
        <v>103</v>
      </c>
      <c r="C48" s="16" t="s">
        <v>104</v>
      </c>
      <c r="D48" s="4" t="s">
        <v>93</v>
      </c>
      <c r="E48" s="5">
        <v>116.0</v>
      </c>
      <c r="F48" s="5">
        <v>150.0</v>
      </c>
      <c r="G48" s="5">
        <v>4.0</v>
      </c>
      <c r="H48" s="6">
        <v>2100000.0</v>
      </c>
      <c r="I48" s="7">
        <v>0.0</v>
      </c>
    </row>
    <row r="49">
      <c r="A49" s="2" t="s">
        <v>13</v>
      </c>
      <c r="B49" s="3" t="s">
        <v>105</v>
      </c>
      <c r="C49" s="16" t="s">
        <v>106</v>
      </c>
      <c r="D49" s="4" t="s">
        <v>93</v>
      </c>
      <c r="E49" s="5">
        <v>118.0</v>
      </c>
      <c r="F49" s="5">
        <v>100.0</v>
      </c>
      <c r="G49" s="5">
        <v>38.0</v>
      </c>
      <c r="H49" s="6">
        <v>2000000.0</v>
      </c>
      <c r="I49" s="7">
        <v>0.0</v>
      </c>
    </row>
    <row r="50">
      <c r="A50" s="2" t="s">
        <v>16</v>
      </c>
      <c r="B50" s="3" t="s">
        <v>107</v>
      </c>
      <c r="C50" s="3" t="s">
        <v>108</v>
      </c>
      <c r="D50" s="4" t="s">
        <v>93</v>
      </c>
      <c r="E50" s="5">
        <v>206.0</v>
      </c>
      <c r="F50" s="5">
        <v>220.0</v>
      </c>
      <c r="G50" s="5">
        <v>100.0</v>
      </c>
      <c r="H50" s="6">
        <v>3500000.0</v>
      </c>
      <c r="I50" s="7">
        <v>0.0</v>
      </c>
    </row>
    <row r="51">
      <c r="A51" s="2" t="s">
        <v>16</v>
      </c>
      <c r="B51" s="3" t="s">
        <v>109</v>
      </c>
      <c r="C51" s="16" t="s">
        <v>97</v>
      </c>
      <c r="D51" s="4" t="s">
        <v>93</v>
      </c>
      <c r="E51" s="5">
        <v>207.0</v>
      </c>
      <c r="F51" s="5">
        <v>250.0</v>
      </c>
      <c r="G51" s="5">
        <v>3.0</v>
      </c>
      <c r="H51" s="6">
        <v>2500000.0</v>
      </c>
      <c r="I51" s="7">
        <v>60000.0</v>
      </c>
    </row>
    <row r="52">
      <c r="A52" s="2" t="s">
        <v>16</v>
      </c>
      <c r="B52" s="3" t="s">
        <v>110</v>
      </c>
      <c r="C52" s="3" t="s">
        <v>111</v>
      </c>
      <c r="D52" s="4" t="s">
        <v>93</v>
      </c>
      <c r="E52" s="5">
        <v>208.0</v>
      </c>
      <c r="F52" s="5">
        <v>45.0</v>
      </c>
      <c r="G52" s="5">
        <v>20.0</v>
      </c>
      <c r="H52" s="6">
        <v>1400000.0</v>
      </c>
      <c r="I52" s="7">
        <v>0.0</v>
      </c>
    </row>
    <row r="53">
      <c r="A53" s="2" t="s">
        <v>16</v>
      </c>
      <c r="B53" s="3" t="s">
        <v>112</v>
      </c>
      <c r="C53" s="16" t="s">
        <v>113</v>
      </c>
      <c r="D53" s="4" t="s">
        <v>93</v>
      </c>
      <c r="E53" s="5">
        <v>209.0</v>
      </c>
      <c r="F53" s="5">
        <v>110.0</v>
      </c>
      <c r="G53" s="5">
        <v>18.0</v>
      </c>
      <c r="H53" s="6">
        <v>890000.0</v>
      </c>
      <c r="I53" s="7">
        <v>2000.0</v>
      </c>
    </row>
    <row r="54">
      <c r="A54" s="2" t="s">
        <v>19</v>
      </c>
      <c r="B54" s="3" t="s">
        <v>118</v>
      </c>
      <c r="C54" s="16" t="s">
        <v>95</v>
      </c>
      <c r="D54" s="4" t="s">
        <v>93</v>
      </c>
      <c r="E54" s="5">
        <v>311.0</v>
      </c>
      <c r="F54" s="5">
        <v>65.0</v>
      </c>
      <c r="G54" s="5">
        <v>10.0</v>
      </c>
      <c r="H54" s="6">
        <v>500000.0</v>
      </c>
      <c r="I54" s="7">
        <v>0.0</v>
      </c>
    </row>
    <row r="55">
      <c r="A55" s="2" t="s">
        <v>19</v>
      </c>
      <c r="B55" s="3" t="s">
        <v>117</v>
      </c>
      <c r="C55" s="16" t="s">
        <v>106</v>
      </c>
      <c r="D55" s="4" t="s">
        <v>93</v>
      </c>
      <c r="E55" s="5">
        <v>312.0</v>
      </c>
      <c r="F55" s="5">
        <v>90.0</v>
      </c>
      <c r="G55" s="5">
        <v>31.0</v>
      </c>
      <c r="H55" s="6">
        <v>2150000.0</v>
      </c>
      <c r="I55" s="7">
        <v>0.0</v>
      </c>
    </row>
    <row r="56">
      <c r="A56" s="2" t="s">
        <v>19</v>
      </c>
      <c r="B56" s="3" t="s">
        <v>116</v>
      </c>
      <c r="C56" s="16" t="s">
        <v>104</v>
      </c>
      <c r="D56" s="4" t="s">
        <v>93</v>
      </c>
      <c r="E56" s="5">
        <v>313.0</v>
      </c>
      <c r="F56" s="5">
        <v>120.0</v>
      </c>
      <c r="G56" s="5">
        <v>5.0</v>
      </c>
      <c r="H56" s="6">
        <v>420000.0</v>
      </c>
      <c r="I56" s="7">
        <v>0.0</v>
      </c>
    </row>
    <row r="57">
      <c r="A57" s="2" t="s">
        <v>19</v>
      </c>
      <c r="B57" s="3" t="s">
        <v>114</v>
      </c>
      <c r="C57" s="3" t="s">
        <v>115</v>
      </c>
      <c r="D57" s="4" t="s">
        <v>93</v>
      </c>
      <c r="E57" s="5">
        <v>314.0</v>
      </c>
      <c r="F57" s="5">
        <v>190.0</v>
      </c>
      <c r="G57" s="5">
        <v>76.0</v>
      </c>
      <c r="H57" s="6">
        <v>2700000.0</v>
      </c>
      <c r="I57" s="7">
        <v>0.0</v>
      </c>
    </row>
    <row r="58">
      <c r="A58" s="2" t="s">
        <v>9</v>
      </c>
      <c r="B58" s="3" t="s">
        <v>119</v>
      </c>
      <c r="C58" s="3" t="s">
        <v>120</v>
      </c>
      <c r="D58" s="4" t="s">
        <v>121</v>
      </c>
      <c r="E58" s="5">
        <v>425.0</v>
      </c>
      <c r="F58" s="5">
        <v>180.0</v>
      </c>
      <c r="G58" s="5">
        <v>10.0</v>
      </c>
      <c r="H58" s="6">
        <v>3100000.0</v>
      </c>
      <c r="I58" s="7">
        <v>0.0</v>
      </c>
    </row>
    <row r="59">
      <c r="A59" s="2" t="s">
        <v>13</v>
      </c>
      <c r="B59" s="3" t="s">
        <v>122</v>
      </c>
      <c r="C59" s="3" t="s">
        <v>123</v>
      </c>
      <c r="D59" s="4" t="s">
        <v>121</v>
      </c>
      <c r="E59" s="5">
        <v>126.0</v>
      </c>
      <c r="F59" s="5">
        <v>100.0</v>
      </c>
      <c r="G59" s="5">
        <v>70.0</v>
      </c>
      <c r="H59" s="6">
        <v>1520000.0</v>
      </c>
      <c r="I59" s="7">
        <v>0.0</v>
      </c>
    </row>
    <row r="60">
      <c r="A60" s="2" t="s">
        <v>16</v>
      </c>
      <c r="B60" s="3" t="s">
        <v>124</v>
      </c>
      <c r="C60" s="3" t="s">
        <v>125</v>
      </c>
      <c r="D60" s="4" t="s">
        <v>121</v>
      </c>
      <c r="E60" s="5">
        <v>213.0</v>
      </c>
      <c r="F60" s="5">
        <v>80.0</v>
      </c>
      <c r="G60" s="5">
        <v>24.0</v>
      </c>
      <c r="H60" s="6">
        <v>2090000.0</v>
      </c>
      <c r="I60" s="7">
        <v>100000.0</v>
      </c>
    </row>
    <row r="61">
      <c r="A61" s="2" t="s">
        <v>19</v>
      </c>
      <c r="B61" s="3" t="s">
        <v>126</v>
      </c>
      <c r="C61" s="3" t="s">
        <v>127</v>
      </c>
      <c r="D61" s="4" t="s">
        <v>121</v>
      </c>
      <c r="E61" s="5">
        <v>307.0</v>
      </c>
      <c r="F61" s="5">
        <v>45.0</v>
      </c>
      <c r="G61" s="5">
        <v>70.0</v>
      </c>
      <c r="H61" s="6">
        <v>1680000.0</v>
      </c>
      <c r="I61" s="7">
        <v>0.0</v>
      </c>
    </row>
    <row r="62">
      <c r="A62" s="2" t="s">
        <v>9</v>
      </c>
      <c r="B62" s="3" t="s">
        <v>128</v>
      </c>
      <c r="C62" s="3" t="s">
        <v>129</v>
      </c>
      <c r="D62" s="4" t="s">
        <v>130</v>
      </c>
      <c r="E62" s="5">
        <v>423.0</v>
      </c>
      <c r="F62" s="5">
        <v>100.0</v>
      </c>
      <c r="G62" s="5">
        <v>50.0</v>
      </c>
      <c r="H62" s="6">
        <v>640000.0</v>
      </c>
      <c r="I62" s="7">
        <v>0.0</v>
      </c>
    </row>
    <row r="63">
      <c r="A63" s="2" t="s">
        <v>13</v>
      </c>
      <c r="B63" s="3" t="s">
        <v>131</v>
      </c>
      <c r="C63" s="3" t="s">
        <v>132</v>
      </c>
      <c r="D63" s="4" t="s">
        <v>130</v>
      </c>
      <c r="E63" s="5">
        <v>124.0</v>
      </c>
      <c r="F63" s="5">
        <v>90.0</v>
      </c>
      <c r="G63" s="5">
        <v>45.0</v>
      </c>
      <c r="H63" s="6">
        <v>500000.0</v>
      </c>
      <c r="I63" s="7">
        <v>0.0</v>
      </c>
    </row>
    <row r="64">
      <c r="A64" s="2" t="s">
        <v>16</v>
      </c>
      <c r="B64" s="3" t="s">
        <v>133</v>
      </c>
      <c r="C64" s="3" t="s">
        <v>134</v>
      </c>
      <c r="D64" s="4" t="s">
        <v>130</v>
      </c>
      <c r="E64" s="5">
        <v>212.0</v>
      </c>
      <c r="F64" s="5">
        <v>110.0</v>
      </c>
      <c r="G64" s="5">
        <v>50.0</v>
      </c>
      <c r="H64" s="6">
        <v>550000.0</v>
      </c>
      <c r="I64" s="7">
        <v>0.0</v>
      </c>
    </row>
    <row r="65">
      <c r="A65" s="2" t="s">
        <v>19</v>
      </c>
      <c r="B65" s="3" t="s">
        <v>135</v>
      </c>
      <c r="C65" s="3" t="s">
        <v>136</v>
      </c>
      <c r="D65" s="4" t="s">
        <v>130</v>
      </c>
      <c r="E65" s="5">
        <v>308.0</v>
      </c>
      <c r="F65" s="5">
        <v>80.0</v>
      </c>
      <c r="G65" s="5">
        <v>35.0</v>
      </c>
      <c r="H65" s="6">
        <v>385000.0</v>
      </c>
      <c r="I65" s="7">
        <v>0.0</v>
      </c>
    </row>
    <row r="66">
      <c r="A66" s="2" t="s">
        <v>19</v>
      </c>
      <c r="B66" s="3"/>
      <c r="C66" s="3"/>
      <c r="D66" s="4" t="s">
        <v>137</v>
      </c>
      <c r="E66" s="5">
        <v>320.0</v>
      </c>
      <c r="F66" s="18">
        <v>360.0</v>
      </c>
      <c r="G66" s="18"/>
      <c r="H66" s="19"/>
      <c r="I66" s="20"/>
    </row>
    <row r="67">
      <c r="A67" s="2" t="s">
        <v>19</v>
      </c>
      <c r="B67" s="3"/>
      <c r="C67" s="3"/>
      <c r="D67" s="4" t="s">
        <v>137</v>
      </c>
      <c r="E67" s="5">
        <v>322.0</v>
      </c>
      <c r="F67" s="18">
        <v>75.0</v>
      </c>
      <c r="G67" s="18"/>
      <c r="H67" s="19"/>
      <c r="I67" s="20"/>
    </row>
    <row r="68">
      <c r="A68" s="2" t="s">
        <v>9</v>
      </c>
      <c r="B68" s="3" t="s">
        <v>138</v>
      </c>
      <c r="C68" s="3" t="s">
        <v>139</v>
      </c>
      <c r="D68" s="4" t="s">
        <v>140</v>
      </c>
      <c r="E68" s="5">
        <v>427.0</v>
      </c>
      <c r="F68" s="5">
        <v>150.0</v>
      </c>
      <c r="G68" s="5">
        <v>58.0</v>
      </c>
      <c r="H68" s="6">
        <v>1050000.0</v>
      </c>
      <c r="I68" s="7">
        <v>0.0</v>
      </c>
    </row>
    <row r="69">
      <c r="A69" s="2" t="s">
        <v>13</v>
      </c>
      <c r="B69" s="3" t="s">
        <v>141</v>
      </c>
      <c r="C69" s="3" t="s">
        <v>142</v>
      </c>
      <c r="D69" s="4" t="s">
        <v>140</v>
      </c>
      <c r="E69" s="5">
        <v>128.0</v>
      </c>
      <c r="F69" s="5">
        <v>140.0</v>
      </c>
      <c r="G69" s="5">
        <v>54.0</v>
      </c>
      <c r="H69" s="6">
        <v>930000.0</v>
      </c>
      <c r="I69" s="7">
        <v>0.0</v>
      </c>
    </row>
    <row r="70">
      <c r="A70" s="2" t="s">
        <v>16</v>
      </c>
      <c r="B70" s="3" t="s">
        <v>143</v>
      </c>
      <c r="C70" s="3" t="s">
        <v>144</v>
      </c>
      <c r="D70" s="4" t="s">
        <v>140</v>
      </c>
      <c r="E70" s="5">
        <v>214.0</v>
      </c>
      <c r="F70" s="5">
        <v>160.0</v>
      </c>
      <c r="G70" s="5">
        <v>75.0</v>
      </c>
      <c r="H70" s="6">
        <v>1200000.0</v>
      </c>
      <c r="I70" s="7">
        <v>50000.0</v>
      </c>
    </row>
    <row r="71">
      <c r="A71" s="2" t="s">
        <v>19</v>
      </c>
      <c r="B71" s="3" t="s">
        <v>145</v>
      </c>
      <c r="C71" s="3" t="s">
        <v>146</v>
      </c>
      <c r="D71" s="4" t="s">
        <v>140</v>
      </c>
      <c r="E71" s="5">
        <v>306.0</v>
      </c>
      <c r="F71" s="5">
        <v>130.0</v>
      </c>
      <c r="G71" s="5">
        <v>65.0</v>
      </c>
      <c r="H71" s="6">
        <v>1060000.0</v>
      </c>
      <c r="I71" s="7">
        <v>5000.0</v>
      </c>
    </row>
    <row r="72">
      <c r="A72" s="2" t="s">
        <v>19</v>
      </c>
      <c r="B72" s="3" t="s">
        <v>53</v>
      </c>
      <c r="C72" s="3" t="s">
        <v>179</v>
      </c>
      <c r="D72" s="4" t="s">
        <v>140</v>
      </c>
      <c r="E72" s="5">
        <v>321.0</v>
      </c>
      <c r="F72" s="18">
        <v>50.0</v>
      </c>
      <c r="G72" s="18">
        <v>29.0</v>
      </c>
      <c r="H72" s="19">
        <v>75000.0</v>
      </c>
      <c r="I72" s="20"/>
    </row>
    <row r="73">
      <c r="A73" s="2" t="s">
        <v>9</v>
      </c>
      <c r="B73" s="3" t="s">
        <v>147</v>
      </c>
      <c r="C73" s="3" t="s">
        <v>148</v>
      </c>
      <c r="D73" s="4" t="s">
        <v>149</v>
      </c>
      <c r="E73" s="5">
        <v>429.0</v>
      </c>
      <c r="F73" s="5">
        <v>120.0</v>
      </c>
      <c r="G73" s="5">
        <v>54.0</v>
      </c>
      <c r="H73" s="6">
        <v>1.2E7</v>
      </c>
      <c r="I73" s="7">
        <v>0.0</v>
      </c>
    </row>
    <row r="74">
      <c r="A74" s="2" t="s">
        <v>13</v>
      </c>
      <c r="B74" s="3" t="s">
        <v>150</v>
      </c>
      <c r="C74" s="3" t="s">
        <v>151</v>
      </c>
      <c r="D74" s="4" t="s">
        <v>149</v>
      </c>
      <c r="E74" s="5">
        <v>130.0</v>
      </c>
      <c r="F74" s="5">
        <v>110.0</v>
      </c>
      <c r="G74" s="5">
        <v>56.0</v>
      </c>
      <c r="H74" s="6">
        <v>1600000.0</v>
      </c>
      <c r="I74" s="7">
        <v>0.0</v>
      </c>
    </row>
    <row r="75">
      <c r="A75" s="2" t="s">
        <v>16</v>
      </c>
      <c r="B75" s="3" t="s">
        <v>152</v>
      </c>
      <c r="C75" s="3" t="s">
        <v>153</v>
      </c>
      <c r="D75" s="4" t="s">
        <v>149</v>
      </c>
      <c r="E75" s="5">
        <v>215.0</v>
      </c>
      <c r="F75" s="5">
        <v>130.0</v>
      </c>
      <c r="G75" s="5">
        <v>70.0</v>
      </c>
      <c r="H75" s="6">
        <v>1820000.0</v>
      </c>
      <c r="I75" s="7">
        <v>0.0</v>
      </c>
    </row>
    <row r="76">
      <c r="A76" s="2" t="s">
        <v>19</v>
      </c>
      <c r="B76" s="3" t="s">
        <v>154</v>
      </c>
      <c r="C76" s="3" t="s">
        <v>155</v>
      </c>
      <c r="D76" s="4" t="s">
        <v>149</v>
      </c>
      <c r="E76" s="5">
        <v>305.0</v>
      </c>
      <c r="F76" s="5">
        <v>100.0</v>
      </c>
      <c r="G76" s="5">
        <v>55.0</v>
      </c>
      <c r="H76" s="6">
        <v>1210000.0</v>
      </c>
      <c r="I76" s="7">
        <v>0.0</v>
      </c>
    </row>
    <row r="77">
      <c r="A77" s="2" t="s">
        <v>9</v>
      </c>
      <c r="B77" s="3" t="s">
        <v>156</v>
      </c>
      <c r="C77" s="3" t="s">
        <v>157</v>
      </c>
      <c r="D77" s="4" t="s">
        <v>158</v>
      </c>
      <c r="E77" s="5">
        <v>421.0</v>
      </c>
      <c r="F77" s="5">
        <v>80.0</v>
      </c>
      <c r="G77" s="5">
        <v>6.0</v>
      </c>
      <c r="H77" s="6">
        <v>85000.0</v>
      </c>
      <c r="I77" s="7">
        <v>60000.0</v>
      </c>
    </row>
    <row r="78">
      <c r="A78" s="2" t="s">
        <v>13</v>
      </c>
      <c r="B78" s="3" t="s">
        <v>159</v>
      </c>
      <c r="C78" s="3" t="s">
        <v>160</v>
      </c>
      <c r="D78" s="4" t="s">
        <v>158</v>
      </c>
      <c r="E78" s="5">
        <v>122.0</v>
      </c>
      <c r="F78" s="5">
        <v>70.0</v>
      </c>
      <c r="G78" s="5">
        <v>11.0</v>
      </c>
      <c r="H78" s="6">
        <v>115000.0</v>
      </c>
      <c r="I78" s="7">
        <v>50000.0</v>
      </c>
    </row>
    <row r="79">
      <c r="A79" s="2" t="s">
        <v>16</v>
      </c>
      <c r="B79" s="3" t="s">
        <v>161</v>
      </c>
      <c r="C79" s="3" t="s">
        <v>162</v>
      </c>
      <c r="D79" s="4" t="s">
        <v>158</v>
      </c>
      <c r="E79" s="5">
        <v>211.0</v>
      </c>
      <c r="F79" s="5">
        <v>90.0</v>
      </c>
      <c r="G79" s="5">
        <v>21.0</v>
      </c>
      <c r="H79" s="6">
        <v>185000.0</v>
      </c>
      <c r="I79" s="7">
        <v>0.0</v>
      </c>
    </row>
    <row r="80">
      <c r="A80" s="21" t="s">
        <v>19</v>
      </c>
      <c r="B80" s="22" t="s">
        <v>163</v>
      </c>
      <c r="C80" s="22" t="s">
        <v>164</v>
      </c>
      <c r="D80" s="23" t="s">
        <v>158</v>
      </c>
      <c r="E80" s="24">
        <v>309.0</v>
      </c>
      <c r="F80" s="25">
        <v>60.0</v>
      </c>
      <c r="G80" s="25">
        <v>2.0</v>
      </c>
      <c r="H80" s="26">
        <v>55000.0</v>
      </c>
      <c r="I80" s="27">
        <v>0.0</v>
      </c>
    </row>
    <row r="81">
      <c r="A81" s="28"/>
      <c r="B81" s="28"/>
      <c r="C81" s="28"/>
      <c r="D81" s="28"/>
      <c r="E81" s="28"/>
      <c r="F81" s="29"/>
      <c r="G81" s="29"/>
      <c r="H81" s="28"/>
      <c r="I81" s="28"/>
      <c r="J81" s="28"/>
      <c r="K81" s="28"/>
      <c r="L81" s="28"/>
      <c r="M81" s="28"/>
    </row>
    <row r="82">
      <c r="A82" s="28"/>
      <c r="B82" s="28"/>
      <c r="C82" s="28"/>
      <c r="D82" s="28"/>
      <c r="E82" s="28"/>
      <c r="F82" s="29"/>
      <c r="G82" s="29"/>
      <c r="H82" s="28"/>
      <c r="I82" s="30"/>
      <c r="J82" s="30"/>
      <c r="K82" s="30"/>
      <c r="L82" s="30"/>
      <c r="M82" s="30"/>
    </row>
    <row r="83">
      <c r="A83" s="28"/>
      <c r="B83" s="28"/>
      <c r="C83" s="28"/>
      <c r="D83" s="28"/>
      <c r="E83" s="28"/>
      <c r="F83" s="29"/>
      <c r="G83" s="29"/>
      <c r="H83" s="28"/>
      <c r="I83" s="30"/>
      <c r="J83" s="30"/>
      <c r="K83" s="30"/>
      <c r="L83" s="30"/>
      <c r="M83" s="30"/>
    </row>
    <row r="84">
      <c r="A84" s="31"/>
      <c r="B84" s="31"/>
      <c r="C84" s="31"/>
      <c r="D84" s="28"/>
      <c r="E84" s="31"/>
      <c r="F84" s="28"/>
      <c r="G84" s="32"/>
      <c r="H84" s="28"/>
      <c r="I84" s="28"/>
      <c r="J84" s="28"/>
      <c r="K84" s="28"/>
      <c r="L84" s="28"/>
      <c r="M84" s="28"/>
    </row>
    <row r="85">
      <c r="A85" s="31"/>
      <c r="B85" s="31"/>
      <c r="C85" s="31"/>
      <c r="D85" s="28"/>
      <c r="E85" s="31"/>
      <c r="F85" s="28"/>
      <c r="G85" s="32"/>
      <c r="H85" s="28"/>
      <c r="I85" s="28"/>
      <c r="J85" s="28"/>
      <c r="K85" s="28"/>
      <c r="L85" s="28"/>
      <c r="M85" s="28"/>
    </row>
    <row r="86">
      <c r="A86" s="31"/>
      <c r="B86" s="31"/>
      <c r="C86" s="31"/>
      <c r="D86" s="28"/>
      <c r="E86" s="31"/>
      <c r="F86" s="28"/>
      <c r="G86" s="32"/>
      <c r="H86" s="28"/>
      <c r="I86" s="28"/>
      <c r="J86" s="28"/>
      <c r="K86" s="28"/>
      <c r="L86" s="28"/>
      <c r="M86" s="28"/>
    </row>
    <row r="87">
      <c r="A87" s="31"/>
      <c r="B87" s="31"/>
      <c r="C87" s="31"/>
      <c r="D87" s="33"/>
      <c r="E87" s="34"/>
      <c r="F87" s="28"/>
      <c r="G87" s="32"/>
      <c r="H87" s="28"/>
      <c r="I87" s="28"/>
      <c r="J87" s="28"/>
      <c r="K87" s="28"/>
      <c r="L87" s="28"/>
      <c r="M87" s="28"/>
    </row>
    <row r="88">
      <c r="A88" s="31"/>
      <c r="B88" s="31"/>
      <c r="C88" s="31"/>
      <c r="D88" s="28"/>
      <c r="E88" s="31"/>
      <c r="F88" s="28"/>
      <c r="G88" s="32"/>
      <c r="H88" s="28"/>
      <c r="I88" s="28"/>
      <c r="J88" s="28"/>
      <c r="K88" s="28"/>
      <c r="L88" s="28"/>
      <c r="M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</row>
    <row r="90">
      <c r="A90" s="35" t="s">
        <v>0</v>
      </c>
      <c r="B90" s="36" t="s">
        <v>165</v>
      </c>
      <c r="C90" s="36" t="s">
        <v>166</v>
      </c>
      <c r="D90" s="35" t="s">
        <v>167</v>
      </c>
      <c r="E90" s="37" t="s">
        <v>168</v>
      </c>
      <c r="F90" s="36" t="s">
        <v>169</v>
      </c>
      <c r="G90" s="36" t="s">
        <v>170</v>
      </c>
      <c r="H90" s="36" t="s">
        <v>171</v>
      </c>
      <c r="I90" s="36" t="s">
        <v>172</v>
      </c>
    </row>
    <row r="91">
      <c r="A91" s="65" t="s">
        <v>19</v>
      </c>
      <c r="B91" s="39">
        <f>SUMIF(Февраль_2025[[#ALL],[Филиал ТЦ]],A91,Февраль_2025[[#ALL],[Площадь (м²)]])</f>
        <v>2330</v>
      </c>
      <c r="C91" s="39">
        <f>SUMIFS(Февраль_2025[[#ALL],[Площадь (м²)]],Февраль_2025[[#ALL],[Филиал ТЦ]],A91,Февраль_2025[[#ALL],[Категория]],"&lt;&gt;Пустой")</f>
        <v>1895</v>
      </c>
      <c r="D91" s="40">
        <f>COUNTIFS(Февраль_2025[[#ALL],[Филиал ТЦ]],A91,Февраль_2025[[#ALL],[Номер помещения]],"&lt;&gt;")</f>
        <v>23</v>
      </c>
      <c r="E91" s="40">
        <f>COUNTIFS(Февраль_2025[[#ALL],[Филиал ТЦ]],A91,Февраль_2025[[#ALL],[ID арендатора]],"&lt;&gt;")</f>
        <v>21</v>
      </c>
      <c r="F91" s="41">
        <f>SUMIF(Февраль_2025[[#ALL],[Филиал ТЦ]],A91,Февраль_2025[[#ALL],[Продажи/мес]])</f>
        <v>589</v>
      </c>
      <c r="G91" s="42">
        <f>SUMIF(Февраль_2025[[#ALL],[Филиал ТЦ]],A91,Февраль_2025[[#ALL],[Выручка (руб/мес)]])</f>
        <v>25604000</v>
      </c>
      <c r="H91" s="42">
        <f>SUMIF(Февраль_2025[[#ALL],[Филиал ТЦ]],A91,Февраль_2025[[#ALL],[Долг по аренде (руб)]])</f>
        <v>165000</v>
      </c>
      <c r="I91" s="43">
        <f t="shared" ref="I91:I94" si="1">G91/C91</f>
        <v>13511.34565</v>
      </c>
    </row>
    <row r="92">
      <c r="A92" s="65" t="s">
        <v>9</v>
      </c>
      <c r="B92" s="39">
        <f>SUMIF(Февраль_2025[[#ALL],[Филиал ТЦ]],A92,Февраль_2025[[#ALL],[Площадь (м²)]])</f>
        <v>2176</v>
      </c>
      <c r="C92" s="39">
        <f>SUMIFS(Февраль_2025[[#ALL],[Площадь (м²)]],Февраль_2025[[#ALL],[Филиал ТЦ]],A92,Февраль_2025[[#ALL],[Категория]],"&lt;&gt;Пустой")</f>
        <v>2176</v>
      </c>
      <c r="D92" s="40">
        <f>COUNTIFS(Февраль_2025[[#ALL],[Филиал ТЦ]],A92,Февраль_2025[[#ALL],[Номер помещения]],"&lt;&gt;")</f>
        <v>18</v>
      </c>
      <c r="E92" s="40">
        <f>COUNTIFS(Февраль_2025[[#ALL],[Филиал ТЦ]],A92,Февраль_2025[[#ALL],[ID арендатора]],"&lt;&gt;")</f>
        <v>18</v>
      </c>
      <c r="F92" s="41">
        <f>SUMIF(Февраль_2025[[#ALL],[Филиал ТЦ]],A92,Февраль_2025[[#ALL],[Продажи/мес]])</f>
        <v>523</v>
      </c>
      <c r="G92" s="42">
        <f>SUMIF(Февраль_2025[[#ALL],[Филиал ТЦ]],A92,Февраль_2025[[#ALL],[Выручка (руб/мес)]])</f>
        <v>36135000</v>
      </c>
      <c r="H92" s="42">
        <f>SUMIF(Февраль_2025[[#ALL],[Филиал ТЦ]],A92,Февраль_2025[[#ALL],[Долг по аренде (руб)]])</f>
        <v>248000</v>
      </c>
      <c r="I92" s="43">
        <f t="shared" si="1"/>
        <v>16606.15809</v>
      </c>
    </row>
    <row r="93">
      <c r="A93" s="65" t="s">
        <v>13</v>
      </c>
      <c r="B93" s="39">
        <f>SUMIF(Февраль_2025[[#ALL],[Филиал ТЦ]],A93,Февраль_2025[[#ALL],[Площадь (м²)]])</f>
        <v>1855</v>
      </c>
      <c r="C93" s="39">
        <f>SUMIFS(Февраль_2025[[#ALL],[Площадь (м²)]],Февраль_2025[[#ALL],[Филиал ТЦ]],A93,Февраль_2025[[#ALL],[Категория]],"&lt;&gt;Пустой")</f>
        <v>1855</v>
      </c>
      <c r="D93" s="40">
        <f>COUNTIFS(Февраль_2025[[#ALL],[Филиал ТЦ]],A93,Февраль_2025[[#ALL],[Номер помещения]],"&lt;&gt;")</f>
        <v>18</v>
      </c>
      <c r="E93" s="40">
        <f>COUNTIFS(Февраль_2025[[#ALL],[Филиал ТЦ]],A93,Февраль_2025[[#ALL],[ID арендатора]],"&lt;&gt;")</f>
        <v>18</v>
      </c>
      <c r="F93" s="41">
        <f>SUMIF(Февраль_2025[[#ALL],[Филиал ТЦ]],A93,Февраль_2025[[#ALL],[Продажи/мес]])</f>
        <v>499</v>
      </c>
      <c r="G93" s="42">
        <f>SUMIF(Февраль_2025[[#ALL],[Филиал ТЦ]],A93,Февраль_2025[[#ALL],[Выручка (руб/мес)]])</f>
        <v>20955000</v>
      </c>
      <c r="H93" s="42">
        <f>SUMIF(Февраль_2025[[#ALL],[Филиал ТЦ]],A93,Февраль_2025[[#ALL],[Долг по аренде (руб)]])</f>
        <v>250000</v>
      </c>
      <c r="I93" s="43">
        <f t="shared" si="1"/>
        <v>11296.49596</v>
      </c>
    </row>
    <row r="94">
      <c r="A94" s="66" t="s">
        <v>16</v>
      </c>
      <c r="B94" s="45">
        <f>SUMIF(Февраль_2025[[#ALL],[Филиал ТЦ]],A94,Февраль_2025[[#ALL],[Площадь (м²)]])</f>
        <v>3112</v>
      </c>
      <c r="C94" s="45">
        <f>SUMIFS(Февраль_2025[[#ALL],[Площадь (м²)]],Февраль_2025[[#ALL],[Филиал ТЦ]],A94,Февраль_2025[[#ALL],[Категория]],"&lt;&gt;Пустой")</f>
        <v>3112</v>
      </c>
      <c r="D94" s="46">
        <f>COUNTIFS(Февраль_2025[[#ALL],[Филиал ТЦ]],A94,Февраль_2025[[#ALL],[Номер помещения]],"&lt;&gt;")</f>
        <v>20</v>
      </c>
      <c r="E94" s="46">
        <f>COUNTIFS(Февраль_2025[[#ALL],[Филиал ТЦ]],A94,Февраль_2025[[#ALL],[ID арендатора]],"&lt;&gt;")</f>
        <v>20</v>
      </c>
      <c r="F94" s="47">
        <f>SUMIF(Февраль_2025[[#ALL],[Филиал ТЦ]],A94,Февраль_2025[[#ALL],[Продажи/мес]])</f>
        <v>689</v>
      </c>
      <c r="G94" s="48">
        <f>SUMIF(Февраль_2025[[#ALL],[Филиал ТЦ]],A94,Февраль_2025[[#ALL],[Выручка (руб/мес)]])</f>
        <v>37380000</v>
      </c>
      <c r="H94" s="48">
        <f>SUMIF(Февраль_2025[[#ALL],[Филиал ТЦ]],A94,Февраль_2025[[#ALL],[Долг по аренде (руб)]])</f>
        <v>930460</v>
      </c>
      <c r="I94" s="49">
        <f t="shared" si="1"/>
        <v>12011.56812</v>
      </c>
    </row>
    <row r="95">
      <c r="A95" s="31"/>
      <c r="B95" s="31"/>
      <c r="C95" s="31"/>
      <c r="D95" s="28"/>
      <c r="E95" s="31"/>
      <c r="F95" s="28"/>
      <c r="G95" s="32"/>
      <c r="H95" s="28"/>
      <c r="I95" s="28"/>
      <c r="J95" s="28"/>
      <c r="K95" s="28"/>
      <c r="L95" s="28"/>
      <c r="M95" s="28"/>
    </row>
    <row r="96">
      <c r="A96" s="31"/>
      <c r="B96" s="31"/>
      <c r="C96" s="31"/>
      <c r="D96" s="28"/>
      <c r="E96" s="31"/>
      <c r="F96" s="28"/>
      <c r="G96" s="32"/>
      <c r="H96" s="28"/>
      <c r="I96" s="28"/>
      <c r="J96" s="28"/>
      <c r="K96" s="28"/>
      <c r="L96" s="28"/>
      <c r="M96" s="28"/>
    </row>
    <row r="97">
      <c r="A97" s="31"/>
      <c r="B97" s="31"/>
      <c r="C97" s="31"/>
      <c r="D97" s="28"/>
      <c r="E97" s="31"/>
      <c r="F97" s="28"/>
      <c r="G97" s="32"/>
      <c r="H97" s="28"/>
      <c r="I97" s="28"/>
      <c r="J97" s="28"/>
      <c r="K97" s="28"/>
      <c r="L97" s="28"/>
      <c r="M97" s="28"/>
    </row>
    <row r="98" ht="21.0" customHeight="1">
      <c r="A98" s="50"/>
      <c r="B98" s="51" t="s">
        <v>16</v>
      </c>
      <c r="E98" s="51" t="s">
        <v>9</v>
      </c>
      <c r="H98" s="51" t="s">
        <v>13</v>
      </c>
      <c r="K98" s="51" t="s">
        <v>19</v>
      </c>
    </row>
    <row r="99" ht="21.0" customHeight="1">
      <c r="A99" s="52"/>
      <c r="B99" s="53" t="s">
        <v>173</v>
      </c>
      <c r="C99" s="53" t="s">
        <v>174</v>
      </c>
      <c r="D99" s="54" t="s">
        <v>175</v>
      </c>
      <c r="E99" s="53" t="s">
        <v>176</v>
      </c>
      <c r="F99" s="53" t="s">
        <v>177</v>
      </c>
      <c r="G99" s="54" t="s">
        <v>175</v>
      </c>
      <c r="H99" s="55" t="s">
        <v>176</v>
      </c>
      <c r="I99" s="55" t="s">
        <v>177</v>
      </c>
      <c r="J99" s="56" t="s">
        <v>175</v>
      </c>
      <c r="K99" s="55" t="s">
        <v>176</v>
      </c>
      <c r="L99" s="55" t="s">
        <v>177</v>
      </c>
      <c r="M99" s="56" t="s">
        <v>175</v>
      </c>
    </row>
    <row r="100" ht="21.0" customHeight="1">
      <c r="A100" s="57" t="s">
        <v>65</v>
      </c>
      <c r="B100" s="58">
        <f>SUMIFS(Февраль_2025[[#ALL],[Площадь (м²)]],Февраль_2025[[#ALL],[Филиал ТЦ]],B$98,Февраль_2025[[#ALL],[Категория]],$A100)/SUMIFS(Февраль_2025[[#ALL],[Площадь (м²)]],Февраль_2025[[#ALL],[Филиал ТЦ]],B$98)</f>
        <v>0.1446015424</v>
      </c>
      <c r="C100" s="59">
        <f>IF(B100&gt;0, SUMIFS(Февраль_2025[[#ALL],[Выручка (руб/мес)]],Февраль_2025[[#ALL],[Филиал ТЦ]],B$98,Февраль_2025[[#ALL],[Категория]],$A100)/SUMIFS(Февраль_2025[[#ALL],[Продажи/мес]],Февраль_2025[[#ALL],[Филиал ТЦ]],B$98,Февраль_2025[[#ALL],[Категория]],$A100), "нет категории")</f>
        <v>204594.5946</v>
      </c>
      <c r="D100" s="60">
        <f>IF(B100&gt;0, SUMIFS(Февраль_2025[[#ALL],[Выручка (руб/мес)]],Февраль_2025[[#ALL],[Филиал ТЦ]],B$98,Февраль_2025[[#ALL],[Категория]],$A100)/SUMIFS(Февраль_2025[[#ALL],[Площадь (м²)]],Февраль_2025[[#ALL],[Филиал ТЦ]],B$98,Февраль_2025[[#ALL],[Категория]],$A100), "нет категории")</f>
        <v>16822.22222</v>
      </c>
      <c r="E100" s="58">
        <f>SUMIFS(Февраль_2025[[#ALL],[Площадь (м²)]],Февраль_2025[[#ALL],[Филиал ТЦ]],E$98,Февраль_2025[[#ALL],[Категория]],$A100)/SUMIFS(Февраль_2025[[#ALL],[Площадь (м²)]],Февраль_2025[[#ALL],[Филиал ТЦ]],E$98)</f>
        <v>0.1659007353</v>
      </c>
      <c r="F100" s="59">
        <f>IF(E100&gt;0, SUMIFS(Февраль_2025[[#ALL],[Выручка (руб/мес)]],Февраль_2025[[#ALL],[Филиал ТЦ]],E$98,Февраль_2025[[#ALL],[Категория]],$A100)/SUMIFS(Февраль_2025[[#ALL],[Продажи/мес]],Февраль_2025[[#ALL],[Филиал ТЦ]],E$98,Февраль_2025[[#ALL],[Категория]],$A100), "нет категории")</f>
        <v>131071.4286</v>
      </c>
      <c r="G100" s="60">
        <f>IF(E100&gt;0,SUMIFS(Февраль_2025[[#ALL],[Выручка (руб/мес)]],Февраль_2025[[#ALL],[Филиал ТЦ]],E$98,Февраль_2025[[#ALL],[Категория]],$A100)/SUMIFS(Февраль_2025[[#ALL],[Площадь (м²)]],Февраль_2025[[#ALL],[Филиал ТЦ]],E$98,Февраль_2025[[#ALL],[Категория]],$A100), "нет категории")</f>
        <v>10166.20499</v>
      </c>
      <c r="H100" s="58">
        <f>SUMIFS(Февраль_2025[[#ALL],[Площадь (м²)]],Февраль_2025[[#ALL],[Филиал ТЦ]],H$98,Февраль_2025[[#ALL],[Категория]],$A100)/SUMIFS(Февраль_2025[[#ALL],[Площадь (м²)]],Февраль_2025[[#ALL],[Филиал ТЦ]],H$98)</f>
        <v>0.1725067385</v>
      </c>
      <c r="I100" s="59">
        <f>IF(H100&gt;0, SUMIFS(Февраль_2025[[#ALL],[Выручка (руб/мес)]],Февраль_2025[[#ALL],[Филиал ТЦ]],H$98,Февраль_2025[[#ALL],[Категория]],$A100)/SUMIFS(Февраль_2025[[#ALL],[Продажи/мес]],Февраль_2025[[#ALL],[Филиал ТЦ]],H$98,Февраль_2025[[#ALL],[Категория]],$A100), "нет категории")</f>
        <v>116428.5714</v>
      </c>
      <c r="J100" s="60">
        <f>IF(H100&gt;0, SUMIFS(Февраль_2025[[#ALL],[Выручка (руб/мес)]],Февраль_2025[[#ALL],[Филиал ТЦ]],H$98,Февраль_2025[[#ALL],[Категория]],$A100)/SUMIFS(Февраль_2025[[#ALL],[Площадь (м²)]],Февраль_2025[[#ALL],[Филиал ТЦ]],H$98,Февраль_2025[[#ALL],[Категория]],$A100), "нет категории")</f>
        <v>10187.5</v>
      </c>
      <c r="K100" s="58">
        <f>SUMIFS(Февраль_2025[[#ALL],[Площадь (м²)]],Февраль_2025[[#ALL],[Филиал ТЦ]],K$98,Февраль_2025[[#ALL],[Категория]],$A100)/SUMIFS(Февраль_2025[[#ALL],[Площадь (м²)]],Февраль_2025[[#ALL],[Филиал ТЦ]],K$98)</f>
        <v>0.1459227468</v>
      </c>
      <c r="L100" s="59">
        <f>IF(K100&gt;0, SUMIFS(Февраль_2025[[#ALL],[Выручка (руб/мес)]],Февраль_2025[[#ALL],[Филиал ТЦ]],K$98,Февраль_2025[[#ALL],[Категория]],$A100)/SUMIFS(Февраль_2025[[#ALL],[Продажи/мес]],Февраль_2025[[#ALL],[Филиал ТЦ]],K$98,Февраль_2025[[#ALL],[Категория]],$A100), "нет категории")</f>
        <v>177659.5745</v>
      </c>
      <c r="M100" s="60">
        <f>IF(K100&gt;0, SUMIFS(Февраль_2025[[#ALL],[Выручка (руб/мес)]],Февраль_2025[[#ALL],[Филиал ТЦ]],K$98,Февраль_2025[[#ALL],[Категория]],$A100)/SUMIFS(Февраль_2025[[#ALL],[Площадь (м²)]],Февраль_2025[[#ALL],[Филиал ТЦ]],K$98,Февраль_2025[[#ALL],[Категория]],$A100), "нет категории")</f>
        <v>24558.82353</v>
      </c>
    </row>
    <row r="101" ht="21.0" customHeight="1">
      <c r="A101" s="61" t="s">
        <v>93</v>
      </c>
      <c r="B101" s="62">
        <f>SUMIFS(Февраль_2025[[#ALL],[Площадь (м²)]],Февраль_2025[[#ALL],[Филиал ТЦ]],B$98,Февраль_2025[[#ALL],[Категория]],$A101)/SUMIFS(Февраль_2025[[#ALL],[Площадь (м²)]],Февраль_2025[[#ALL],[Филиал ТЦ]],B$98)</f>
        <v>0.2008354756</v>
      </c>
      <c r="C101" s="63">
        <f>IF(B101&gt;0, SUMIFS(Февраль_2025[[#ALL],[Выручка (руб/мес)]],Февраль_2025[[#ALL],[Филиал ТЦ]],B$98,Февраль_2025[[#ALL],[Категория]],$A101)/SUMIFS(Февраль_2025[[#ALL],[Продажи/мес]],Февраль_2025[[#ALL],[Филиал ТЦ]],B$98,Февраль_2025[[#ALL],[Категория]],$A101), "нет категории")</f>
        <v>58794.32624</v>
      </c>
      <c r="D101" s="64">
        <f>IF(B101&gt;0, SUMIFS(Февраль_2025[[#ALL],[Выручка (руб/мес)]],Февраль_2025[[#ALL],[Филиал ТЦ]],B$98,Февраль_2025[[#ALL],[Категория]],$A101)/SUMIFS(Февраль_2025[[#ALL],[Площадь (м²)]],Февраль_2025[[#ALL],[Филиал ТЦ]],B$98,Февраль_2025[[#ALL],[Категория]],$A101), "нет категории")</f>
        <v>13264</v>
      </c>
      <c r="E101" s="62">
        <f>SUMIFS(Февраль_2025[[#ALL],[Площадь (м²)]],Февраль_2025[[#ALL],[Филиал ТЦ]],E$98,Февраль_2025[[#ALL],[Категория]],$A101)/SUMIFS(Февраль_2025[[#ALL],[Площадь (м²)]],Февраль_2025[[#ALL],[Филиал ТЦ]],E$98)</f>
        <v>0.1930147059</v>
      </c>
      <c r="F101" s="63">
        <f>IF(E101&gt;0, SUMIFS(Февраль_2025[[#ALL],[Выручка (руб/мес)]],Февраль_2025[[#ALL],[Филиал ТЦ]],E$98,Февраль_2025[[#ALL],[Категория]],$A101)/SUMIFS(Февраль_2025[[#ALL],[Продажи/мес]],Февраль_2025[[#ALL],[Филиал ТЦ]],E$98,Февраль_2025[[#ALL],[Категория]],$A101), "нет категории")</f>
        <v>64841.26984</v>
      </c>
      <c r="G101" s="64">
        <f>IF(E101&gt;0,SUMIFS(Февраль_2025[[#ALL],[Выручка (руб/мес)]],Февраль_2025[[#ALL],[Филиал ТЦ]],E$98,Февраль_2025[[#ALL],[Категория]],$A101)/SUMIFS(Февраль_2025[[#ALL],[Площадь (м²)]],Февраль_2025[[#ALL],[Филиал ТЦ]],E$98,Февраль_2025[[#ALL],[Категория]],$A101), "нет категории")</f>
        <v>19452.38095</v>
      </c>
      <c r="H101" s="62">
        <f>SUMIFS(Февраль_2025[[#ALL],[Площадь (м²)]],Февраль_2025[[#ALL],[Филиал ТЦ]],H$98,Февраль_2025[[#ALL],[Категория]],$A101)/SUMIFS(Февраль_2025[[#ALL],[Площадь (м²)]],Февраль_2025[[#ALL],[Филиал ТЦ]],H$98)</f>
        <v>0.269541779</v>
      </c>
      <c r="I101" s="63">
        <f>IF(H101&gt;0, SUMIFS(Февраль_2025[[#ALL],[Выручка (руб/мес)]],Февраль_2025[[#ALL],[Филиал ТЦ]],H$98,Февраль_2025[[#ALL],[Категория]],$A101)/SUMIFS(Февраль_2025[[#ALL],[Продажи/мес]],Февраль_2025[[#ALL],[Филиал ТЦ]],H$98,Февраль_2025[[#ALL],[Категория]],$A101), "нет категории")</f>
        <v>56187.05036</v>
      </c>
      <c r="J101" s="64">
        <f>IF(H101&gt;0, SUMIFS(Февраль_2025[[#ALL],[Выручка (руб/мес)]],Февраль_2025[[#ALL],[Филиал ТЦ]],H$98,Февраль_2025[[#ALL],[Категория]],$A101)/SUMIFS(Февраль_2025[[#ALL],[Площадь (м²)]],Февраль_2025[[#ALL],[Филиал ТЦ]],H$98,Февраль_2025[[#ALL],[Категория]],$A101), "нет категории")</f>
        <v>15620</v>
      </c>
      <c r="K101" s="62">
        <f>SUMIFS(Февраль_2025[[#ALL],[Площадь (м²)]],Февраль_2025[[#ALL],[Филиал ТЦ]],K$98,Февраль_2025[[#ALL],[Категория]],$A101)/SUMIFS(Февраль_2025[[#ALL],[Площадь (м²)]],Февраль_2025[[#ALL],[Филиал ТЦ]],K$98)</f>
        <v>0.1995708155</v>
      </c>
      <c r="L101" s="63">
        <f>IF(K101&gt;0, SUMIFS(Февраль_2025[[#ALL],[Выручка (руб/мес)]],Февраль_2025[[#ALL],[Филиал ТЦ]],K$98,Февраль_2025[[#ALL],[Категория]],$A101)/SUMIFS(Февраль_2025[[#ALL],[Продажи/мес]],Февраль_2025[[#ALL],[Филиал ТЦ]],K$98,Февраль_2025[[#ALL],[Категория]],$A101), "нет категории")</f>
        <v>47295.08197</v>
      </c>
      <c r="M101" s="64">
        <f>IF(K101&gt;0, SUMIFS(Февраль_2025[[#ALL],[Выручка (руб/мес)]],Февраль_2025[[#ALL],[Филиал ТЦ]],K$98,Февраль_2025[[#ALL],[Категория]],$A101)/SUMIFS(Февраль_2025[[#ALL],[Площадь (м²)]],Февраль_2025[[#ALL],[Филиал ТЦ]],K$98,Февраль_2025[[#ALL],[Категория]],$A101), "нет категории")</f>
        <v>12408.60215</v>
      </c>
    </row>
    <row r="102" ht="21.0" customHeight="1">
      <c r="A102" s="61" t="s">
        <v>140</v>
      </c>
      <c r="B102" s="62">
        <f>SUMIFS(Февраль_2025[[#ALL],[Площадь (м²)]],Февраль_2025[[#ALL],[Филиал ТЦ]],B$98,Февраль_2025[[#ALL],[Категория]],$A102)/SUMIFS(Февраль_2025[[#ALL],[Площадь (м²)]],Февраль_2025[[#ALL],[Филиал ТЦ]],B$98)</f>
        <v>0.05141388175</v>
      </c>
      <c r="C102" s="63">
        <f>IF(B102&gt;0, SUMIFS(Февраль_2025[[#ALL],[Выручка (руб/мес)]],Февраль_2025[[#ALL],[Филиал ТЦ]],B$98,Февраль_2025[[#ALL],[Категория]],$A102)/SUMIFS(Февраль_2025[[#ALL],[Продажи/мес]],Февраль_2025[[#ALL],[Филиал ТЦ]],B$98,Февраль_2025[[#ALL],[Категория]],$A102), "нет категории")</f>
        <v>16000</v>
      </c>
      <c r="D102" s="64">
        <f>IF(B102&gt;0, SUMIFS(Февраль_2025[[#ALL],[Выручка (руб/мес)]],Февраль_2025[[#ALL],[Филиал ТЦ]],B$98,Февраль_2025[[#ALL],[Категория]],$A102)/SUMIFS(Февраль_2025[[#ALL],[Площадь (м²)]],Февраль_2025[[#ALL],[Филиал ТЦ]],B$98,Февраль_2025[[#ALL],[Категория]],$A102), "нет категории")</f>
        <v>7500</v>
      </c>
      <c r="E102" s="62">
        <f>SUMIFS(Февраль_2025[[#ALL],[Площадь (м²)]],Февраль_2025[[#ALL],[Филиал ТЦ]],E$98,Февраль_2025[[#ALL],[Категория]],$A102)/SUMIFS(Февраль_2025[[#ALL],[Площадь (м²)]],Февраль_2025[[#ALL],[Филиал ТЦ]],E$98)</f>
        <v>0.06893382353</v>
      </c>
      <c r="F102" s="63">
        <f>IF(E102&gt;0, SUMIFS(Февраль_2025[[#ALL],[Выручка (руб/мес)]],Февраль_2025[[#ALL],[Филиал ТЦ]],E$98,Февраль_2025[[#ALL],[Категория]],$A102)/SUMIFS(Февраль_2025[[#ALL],[Продажи/мес]],Февраль_2025[[#ALL],[Филиал ТЦ]],E$98,Февраль_2025[[#ALL],[Категория]],$A102), "нет категории")</f>
        <v>18103.44828</v>
      </c>
      <c r="G102" s="64">
        <f>IF(E102&gt;0,SUMIFS(Февраль_2025[[#ALL],[Выручка (руб/мес)]],Февраль_2025[[#ALL],[Филиал ТЦ]],E$98,Февраль_2025[[#ALL],[Категория]],$A102)/SUMIFS(Февраль_2025[[#ALL],[Площадь (м²)]],Февраль_2025[[#ALL],[Филиал ТЦ]],E$98,Февраль_2025[[#ALL],[Категория]],$A102), "нет категории")</f>
        <v>7000</v>
      </c>
      <c r="H102" s="62">
        <f>SUMIFS(Февраль_2025[[#ALL],[Площадь (м²)]],Февраль_2025[[#ALL],[Филиал ТЦ]],H$98,Февраль_2025[[#ALL],[Категория]],$A102)/SUMIFS(Февраль_2025[[#ALL],[Площадь (м²)]],Февраль_2025[[#ALL],[Филиал ТЦ]],H$98)</f>
        <v>0.07547169811</v>
      </c>
      <c r="I102" s="63">
        <f>IF(H102&gt;0, SUMIFS(Февраль_2025[[#ALL],[Выручка (руб/мес)]],Февраль_2025[[#ALL],[Филиал ТЦ]],H$98,Февраль_2025[[#ALL],[Категория]],$A102)/SUMIFS(Февраль_2025[[#ALL],[Продажи/мес]],Февраль_2025[[#ALL],[Филиал ТЦ]],H$98,Февраль_2025[[#ALL],[Категория]],$A102), "нет категории")</f>
        <v>17222.22222</v>
      </c>
      <c r="J102" s="64">
        <f>IF(H102&gt;0, SUMIFS(Февраль_2025[[#ALL],[Выручка (руб/мес)]],Февраль_2025[[#ALL],[Филиал ТЦ]],H$98,Февраль_2025[[#ALL],[Категория]],$A102)/SUMIFS(Февраль_2025[[#ALL],[Площадь (м²)]],Февраль_2025[[#ALL],[Филиал ТЦ]],H$98,Февраль_2025[[#ALL],[Категория]],$A102), "нет категории")</f>
        <v>6642.857143</v>
      </c>
      <c r="K102" s="62">
        <f>SUMIFS(Февраль_2025[[#ALL],[Площадь (м²)]],Февраль_2025[[#ALL],[Филиал ТЦ]],K$98,Февраль_2025[[#ALL],[Категория]],$A102)/SUMIFS(Февраль_2025[[#ALL],[Площадь (м²)]],Февраль_2025[[#ALL],[Филиал ТЦ]],K$98)</f>
        <v>0.07725321888</v>
      </c>
      <c r="L102" s="63">
        <f>IF(K102&gt;0, SUMIFS(Февраль_2025[[#ALL],[Выручка (руб/мес)]],Февраль_2025[[#ALL],[Филиал ТЦ]],K$98,Февраль_2025[[#ALL],[Категория]],$A102)/SUMIFS(Февраль_2025[[#ALL],[Продажи/мес]],Февраль_2025[[#ALL],[Филиал ТЦ]],K$98,Февраль_2025[[#ALL],[Категория]],$A102), "нет категории")</f>
        <v>12074.46809</v>
      </c>
      <c r="M102" s="64">
        <f>IF(K102&gt;0, SUMIFS(Февраль_2025[[#ALL],[Выручка (руб/мес)]],Февраль_2025[[#ALL],[Филиал ТЦ]],K$98,Февраль_2025[[#ALL],[Категория]],$A102)/SUMIFS(Февраль_2025[[#ALL],[Площадь (м²)]],Февраль_2025[[#ALL],[Филиал ТЦ]],K$98,Февраль_2025[[#ALL],[Категория]],$A102), "нет категории")</f>
        <v>6305.555556</v>
      </c>
    </row>
    <row r="103" ht="21.0" customHeight="1">
      <c r="A103" s="61" t="s">
        <v>130</v>
      </c>
      <c r="B103" s="62">
        <f>SUMIFS(Февраль_2025[[#ALL],[Площадь (м²)]],Февраль_2025[[#ALL],[Филиал ТЦ]],B$98,Февраль_2025[[#ALL],[Категория]],$A103)/SUMIFS(Февраль_2025[[#ALL],[Площадь (м²)]],Февраль_2025[[#ALL],[Филиал ТЦ]],B$98)</f>
        <v>0.0353470437</v>
      </c>
      <c r="C103" s="63">
        <f>IF(B103&gt;0, SUMIFS(Февраль_2025[[#ALL],[Выручка (руб/мес)]],Февраль_2025[[#ALL],[Филиал ТЦ]],B$98,Февраль_2025[[#ALL],[Категория]],$A103)/SUMIFS(Февраль_2025[[#ALL],[Продажи/мес]],Февраль_2025[[#ALL],[Филиал ТЦ]],B$98,Февраль_2025[[#ALL],[Категория]],$A103), "нет категории")</f>
        <v>11000</v>
      </c>
      <c r="D103" s="64">
        <f>IF(B103&gt;0, SUMIFS(Февраль_2025[[#ALL],[Выручка (руб/мес)]],Февраль_2025[[#ALL],[Филиал ТЦ]],B$98,Февраль_2025[[#ALL],[Категория]],$A103)/SUMIFS(Февраль_2025[[#ALL],[Площадь (м²)]],Февраль_2025[[#ALL],[Филиал ТЦ]],B$98,Февраль_2025[[#ALL],[Категория]],$A103), "нет категории")</f>
        <v>5000</v>
      </c>
      <c r="E103" s="62">
        <f>SUMIFS(Февраль_2025[[#ALL],[Площадь (м²)]],Февраль_2025[[#ALL],[Филиал ТЦ]],E$98,Февраль_2025[[#ALL],[Категория]],$A103)/SUMIFS(Февраль_2025[[#ALL],[Площадь (м²)]],Февраль_2025[[#ALL],[Филиал ТЦ]],E$98)</f>
        <v>0.04595588235</v>
      </c>
      <c r="F103" s="63">
        <f>IF(E103&gt;0, SUMIFS(Февраль_2025[[#ALL],[Выручка (руб/мес)]],Февраль_2025[[#ALL],[Филиал ТЦ]],E$98,Февраль_2025[[#ALL],[Категория]],$A103)/SUMIFS(Февраль_2025[[#ALL],[Продажи/мес]],Февраль_2025[[#ALL],[Филиал ТЦ]],E$98,Февраль_2025[[#ALL],[Категория]],$A103), "нет категории")</f>
        <v>12800</v>
      </c>
      <c r="G103" s="64">
        <f>IF(E103&gt;0,SUMIFS(Февраль_2025[[#ALL],[Выручка (руб/мес)]],Февраль_2025[[#ALL],[Филиал ТЦ]],E$98,Февраль_2025[[#ALL],[Категория]],$A103)/SUMIFS(Февраль_2025[[#ALL],[Площадь (м²)]],Февраль_2025[[#ALL],[Филиал ТЦ]],E$98,Февраль_2025[[#ALL],[Категория]],$A103), "нет категории")</f>
        <v>6400</v>
      </c>
      <c r="H103" s="62">
        <f>SUMIFS(Февраль_2025[[#ALL],[Площадь (м²)]],Февраль_2025[[#ALL],[Филиал ТЦ]],H$98,Февраль_2025[[#ALL],[Категория]],$A103)/SUMIFS(Февраль_2025[[#ALL],[Площадь (м²)]],Февраль_2025[[#ALL],[Филиал ТЦ]],H$98)</f>
        <v>0.04851752022</v>
      </c>
      <c r="I103" s="63">
        <f>IF(H103&gt;0, SUMIFS(Февраль_2025[[#ALL],[Выручка (руб/мес)]],Февраль_2025[[#ALL],[Филиал ТЦ]],H$98,Февраль_2025[[#ALL],[Категория]],$A103)/SUMIFS(Февраль_2025[[#ALL],[Продажи/мес]],Февраль_2025[[#ALL],[Филиал ТЦ]],H$98,Февраль_2025[[#ALL],[Категория]],$A103), "нет категории")</f>
        <v>11111.11111</v>
      </c>
      <c r="J103" s="64">
        <f>IF(H103&gt;0, SUMIFS(Февраль_2025[[#ALL],[Выручка (руб/мес)]],Февраль_2025[[#ALL],[Филиал ТЦ]],H$98,Февраль_2025[[#ALL],[Категория]],$A103)/SUMIFS(Февраль_2025[[#ALL],[Площадь (м²)]],Февраль_2025[[#ALL],[Филиал ТЦ]],H$98,Февраль_2025[[#ALL],[Категория]],$A103), "нет категории")</f>
        <v>5555.555556</v>
      </c>
      <c r="K103" s="62">
        <f>SUMIFS(Февраль_2025[[#ALL],[Площадь (м²)]],Февраль_2025[[#ALL],[Филиал ТЦ]],K$98,Февраль_2025[[#ALL],[Категория]],$A103)/SUMIFS(Февраль_2025[[#ALL],[Площадь (м²)]],Февраль_2025[[#ALL],[Филиал ТЦ]],K$98)</f>
        <v>0.03433476395</v>
      </c>
      <c r="L103" s="63">
        <f>IF(K103&gt;0, SUMIFS(Февраль_2025[[#ALL],[Выручка (руб/мес)]],Февраль_2025[[#ALL],[Филиал ТЦ]],K$98,Февраль_2025[[#ALL],[Категория]],$A103)/SUMIFS(Февраль_2025[[#ALL],[Продажи/мес]],Февраль_2025[[#ALL],[Филиал ТЦ]],K$98,Февраль_2025[[#ALL],[Категория]],$A103), "нет категории")</f>
        <v>11000</v>
      </c>
      <c r="M103" s="64">
        <f>IF(K103&gt;0, SUMIFS(Февраль_2025[[#ALL],[Выручка (руб/мес)]],Февраль_2025[[#ALL],[Филиал ТЦ]],K$98,Февраль_2025[[#ALL],[Категория]],$A103)/SUMIFS(Февраль_2025[[#ALL],[Площадь (м²)]],Февраль_2025[[#ALL],[Филиал ТЦ]],K$98,Февраль_2025[[#ALL],[Категория]],$A103), "нет категории")</f>
        <v>4812.5</v>
      </c>
    </row>
    <row r="104" ht="21.0" customHeight="1">
      <c r="A104" s="61" t="s">
        <v>24</v>
      </c>
      <c r="B104" s="62">
        <f>SUMIFS(Февраль_2025[[#ALL],[Площадь (м²)]],Февраль_2025[[#ALL],[Филиал ТЦ]],B$98,Февраль_2025[[#ALL],[Категория]],$A104)/SUMIFS(Февраль_2025[[#ALL],[Площадь (м²)]],Февраль_2025[[#ALL],[Филиал ТЦ]],B$98)</f>
        <v>0.07422879177</v>
      </c>
      <c r="C104" s="63">
        <f>IF(B104&gt;0, SUMIFS(Февраль_2025[[#ALL],[Выручка (руб/мес)]],Февраль_2025[[#ALL],[Филиал ТЦ]],B$98,Февраль_2025[[#ALL],[Категория]],$A104)/SUMIFS(Февраль_2025[[#ALL],[Продажи/мес]],Февраль_2025[[#ALL],[Филиал ТЦ]],B$98,Февраль_2025[[#ALL],[Категория]],$A104), "нет категории")</f>
        <v>55000</v>
      </c>
      <c r="D104" s="64">
        <f>IF(B104&gt;0, SUMIFS(Февраль_2025[[#ALL],[Выручка (руб/мес)]],Февраль_2025[[#ALL],[Филиал ТЦ]],B$98,Февраль_2025[[#ALL],[Категория]],$A104)/SUMIFS(Февраль_2025[[#ALL],[Площадь (м²)]],Февраль_2025[[#ALL],[Филиал ТЦ]],B$98,Февраль_2025[[#ALL],[Категория]],$A104), "нет категории")</f>
        <v>9523.809524</v>
      </c>
      <c r="E104" s="62">
        <f>SUMIFS(Февраль_2025[[#ALL],[Площадь (м²)]],Февраль_2025[[#ALL],[Филиал ТЦ]],E$98,Февраль_2025[[#ALL],[Категория]],$A104)/SUMIFS(Февраль_2025[[#ALL],[Площадь (м²)]],Февраль_2025[[#ALL],[Филиал ТЦ]],E$98)</f>
        <v>0.08272058824</v>
      </c>
      <c r="F104" s="63">
        <f>IF(E104&gt;0, SUMIFS(Февраль_2025[[#ALL],[Выручка (руб/мес)]],Февраль_2025[[#ALL],[Филиал ТЦ]],E$98,Февраль_2025[[#ALL],[Категория]],$A104)/SUMIFS(Февраль_2025[[#ALL],[Продажи/мес]],Февраль_2025[[#ALL],[Филиал ТЦ]],E$98,Февраль_2025[[#ALL],[Категория]],$A104), "нет категории")</f>
        <v>32600</v>
      </c>
      <c r="G104" s="64">
        <f>IF(E104&gt;0,SUMIFS(Февраль_2025[[#ALL],[Выручка (руб/мес)]],Февраль_2025[[#ALL],[Филиал ТЦ]],E$98,Февраль_2025[[#ALL],[Категория]],$A104)/SUMIFS(Февраль_2025[[#ALL],[Площадь (м²)]],Февраль_2025[[#ALL],[Филиал ТЦ]],E$98,Февраль_2025[[#ALL],[Категория]],$A104), "нет категории")</f>
        <v>9055.555556</v>
      </c>
      <c r="H104" s="62">
        <f>SUMIFS(Февраль_2025[[#ALL],[Площадь (м²)]],Февраль_2025[[#ALL],[Филиал ТЦ]],H$98,Февраль_2025[[#ALL],[Категория]],$A104)/SUMIFS(Февраль_2025[[#ALL],[Площадь (м²)]],Февраль_2025[[#ALL],[Филиал ТЦ]],H$98)</f>
        <v>0.08032345013</v>
      </c>
      <c r="I104" s="63">
        <f>IF(H104&gt;0, SUMIFS(Февраль_2025[[#ALL],[Выручка (руб/мес)]],Февраль_2025[[#ALL],[Филиал ТЦ]],H$98,Февраль_2025[[#ALL],[Категория]],$A104)/SUMIFS(Февраль_2025[[#ALL],[Продажи/мес]],Февраль_2025[[#ALL],[Филиал ТЦ]],H$98,Февраль_2025[[#ALL],[Категория]],$A104), "нет категории")</f>
        <v>107142.8571</v>
      </c>
      <c r="J104" s="64">
        <f>IF(H104&gt;0, SUMIFS(Февраль_2025[[#ALL],[Выручка (руб/мес)]],Февраль_2025[[#ALL],[Филиал ТЦ]],H$98,Февраль_2025[[#ALL],[Категория]],$A104)/SUMIFS(Февраль_2025[[#ALL],[Площадь (м²)]],Февраль_2025[[#ALL],[Филиал ТЦ]],H$98,Февраль_2025[[#ALL],[Категория]],$A104), "нет категории")</f>
        <v>10067.11409</v>
      </c>
      <c r="K104" s="62">
        <f>SUMIFS(Февраль_2025[[#ALL],[Площадь (м²)]],Февраль_2025[[#ALL],[Филиал ТЦ]],K$98,Февраль_2025[[#ALL],[Категория]],$A104)/SUMIFS(Февраль_2025[[#ALL],[Площадь (м²)]],Февраль_2025[[#ALL],[Филиал ТЦ]],K$98)</f>
        <v>0.0652360515</v>
      </c>
      <c r="L104" s="63">
        <f>IF(K104&gt;0, SUMIFS(Февраль_2025[[#ALL],[Выручка (руб/мес)]],Февраль_2025[[#ALL],[Филиал ТЦ]],K$98,Февраль_2025[[#ALL],[Категория]],$A104)/SUMIFS(Февраль_2025[[#ALL],[Продажи/мес]],Февраль_2025[[#ALL],[Филиал ТЦ]],K$98,Февраль_2025[[#ALL],[Категория]],$A104), "нет категории")</f>
        <v>27547.16981</v>
      </c>
      <c r="M104" s="64">
        <f>IF(K104&gt;0, SUMIFS(Февраль_2025[[#ALL],[Выручка (руб/мес)]],Февраль_2025[[#ALL],[Филиал ТЦ]],K$98,Февраль_2025[[#ALL],[Категория]],$A104)/SUMIFS(Февраль_2025[[#ALL],[Площадь (м²)]],Февраль_2025[[#ALL],[Филиал ТЦ]],K$98,Февраль_2025[[#ALL],[Категория]],$A104), "нет категории")</f>
        <v>9605.263158</v>
      </c>
    </row>
    <row r="105" ht="21.0" customHeight="1">
      <c r="A105" s="61" t="s">
        <v>40</v>
      </c>
      <c r="B105" s="62">
        <f>SUMIFS(Февраль_2025[[#ALL],[Площадь (м²)]],Февраль_2025[[#ALL],[Филиал ТЦ]],B$98,Февраль_2025[[#ALL],[Категория]],$A105)/SUMIFS(Февраль_2025[[#ALL],[Площадь (м²)]],Февраль_2025[[#ALL],[Филиал ТЦ]],B$98)</f>
        <v>0.09511568123</v>
      </c>
      <c r="C105" s="63">
        <f>IF(B105&gt;0, SUMIFS(Февраль_2025[[#ALL],[Выручка (руб/мес)]],Февраль_2025[[#ALL],[Филиал ТЦ]],B$98,Февраль_2025[[#ALL],[Категория]],$A105)/SUMIFS(Февраль_2025[[#ALL],[Продажи/мес]],Февраль_2025[[#ALL],[Филиал ТЦ]],B$98,Февраль_2025[[#ALL],[Категория]],$A105), "нет категории")</f>
        <v>80769.23077</v>
      </c>
      <c r="D105" s="64">
        <f>IF(B105&gt;0, SUMIFS(Февраль_2025[[#ALL],[Выручка (руб/мес)]],Февраль_2025[[#ALL],[Филиал ТЦ]],B$98,Февраль_2025[[#ALL],[Категория]],$A105)/SUMIFS(Февраль_2025[[#ALL],[Площадь (м²)]],Февраль_2025[[#ALL],[Филиал ТЦ]],B$98,Февраль_2025[[#ALL],[Категория]],$A105), "нет категории")</f>
        <v>14189.18919</v>
      </c>
      <c r="E105" s="62">
        <f>SUMIFS(Февраль_2025[[#ALL],[Площадь (м²)]],Февраль_2025[[#ALL],[Филиал ТЦ]],E$98,Февраль_2025[[#ALL],[Категория]],$A105)/SUMIFS(Февраль_2025[[#ALL],[Площадь (м²)]],Февраль_2025[[#ALL],[Филиал ТЦ]],E$98)</f>
        <v>0.2045036765</v>
      </c>
      <c r="F105" s="63">
        <f>IF(E105&gt;0, SUMIFS(Февраль_2025[[#ALL],[Выручка (руб/мес)]],Февраль_2025[[#ALL],[Филиал ТЦ]],E$98,Февраль_2025[[#ALL],[Категория]],$A105)/SUMIFS(Февраль_2025[[#ALL],[Продажи/мес]],Февраль_2025[[#ALL],[Филиал ТЦ]],E$98,Февраль_2025[[#ALL],[Категория]],$A105), "нет категории")</f>
        <v>66666.66667</v>
      </c>
      <c r="G105" s="64">
        <f>IF(E105&gt;0,SUMIFS(Февраль_2025[[#ALL],[Выручка (руб/мес)]],Февраль_2025[[#ALL],[Филиал ТЦ]],E$98,Февраль_2025[[#ALL],[Категория]],$A105)/SUMIFS(Февраль_2025[[#ALL],[Площадь (м²)]],Февраль_2025[[#ALL],[Филиал ТЦ]],E$98,Февраль_2025[[#ALL],[Категория]],$A105), "нет категории")</f>
        <v>10786.51685</v>
      </c>
      <c r="H105" s="62">
        <f>SUMIFS(Февраль_2025[[#ALL],[Площадь (м²)]],Февраль_2025[[#ALL],[Филиал ТЦ]],H$98,Февраль_2025[[#ALL],[Категория]],$A105)/SUMIFS(Февраль_2025[[#ALL],[Площадь (м²)]],Февраль_2025[[#ALL],[Филиал ТЦ]],H$98)</f>
        <v>0.1326145553</v>
      </c>
      <c r="I105" s="63">
        <f>IF(H105&gt;0, SUMIFS(Февраль_2025[[#ALL],[Выручка (руб/мес)]],Февраль_2025[[#ALL],[Филиал ТЦ]],H$98,Февраль_2025[[#ALL],[Категория]],$A105)/SUMIFS(Февраль_2025[[#ALL],[Продажи/мес]],Февраль_2025[[#ALL],[Филиал ТЦ]],H$98,Февраль_2025[[#ALL],[Категория]],$A105), "нет категории")</f>
        <v>93103.44828</v>
      </c>
      <c r="J105" s="64">
        <f>IF(H105&gt;0, SUMIFS(Февраль_2025[[#ALL],[Выручка (руб/мес)]],Февраль_2025[[#ALL],[Филиал ТЦ]],H$98,Февраль_2025[[#ALL],[Категория]],$A105)/SUMIFS(Февраль_2025[[#ALL],[Площадь (м²)]],Февраль_2025[[#ALL],[Филиал ТЦ]],H$98,Февраль_2025[[#ALL],[Категория]],$A105), "нет категории")</f>
        <v>10975.60976</v>
      </c>
      <c r="K105" s="62">
        <f>SUMIFS(Февраль_2025[[#ALL],[Площадь (м²)]],Февраль_2025[[#ALL],[Филиал ТЦ]],K$98,Февраль_2025[[#ALL],[Категория]],$A105)/SUMIFS(Февраль_2025[[#ALL],[Площадь (м²)]],Февраль_2025[[#ALL],[Филиал ТЦ]],K$98)</f>
        <v>0.09270386266</v>
      </c>
      <c r="L105" s="63">
        <f>IF(K105&gt;0, SUMIFS(Февраль_2025[[#ALL],[Выручка (руб/мес)]],Февраль_2025[[#ALL],[Филиал ТЦ]],K$98,Февраль_2025[[#ALL],[Категория]],$A105)/SUMIFS(Февраль_2025[[#ALL],[Продажи/мес]],Февраль_2025[[#ALL],[Филиал ТЦ]],K$98,Февраль_2025[[#ALL],[Категория]],$A105), "нет категории")</f>
        <v>144807.6923</v>
      </c>
      <c r="M105" s="64">
        <f>IF(K105&gt;0, SUMIFS(Февраль_2025[[#ALL],[Выручка (руб/мес)]],Февраль_2025[[#ALL],[Филиал ТЦ]],K$98,Февраль_2025[[#ALL],[Категория]],$A105)/SUMIFS(Февраль_2025[[#ALL],[Площадь (м²)]],Февраль_2025[[#ALL],[Филиал ТЦ]],K$98,Февраль_2025[[#ALL],[Категория]],$A105), "нет категории")</f>
        <v>17430.55556</v>
      </c>
    </row>
    <row r="106" ht="21.0" customHeight="1">
      <c r="A106" s="61" t="s">
        <v>121</v>
      </c>
      <c r="B106" s="62">
        <f>SUMIFS(Февраль_2025[[#ALL],[Площадь (м²)]],Февраль_2025[[#ALL],[Филиал ТЦ]],B$98,Февраль_2025[[#ALL],[Категория]],$A106)/SUMIFS(Февраль_2025[[#ALL],[Площадь (м²)]],Февраль_2025[[#ALL],[Филиал ТЦ]],B$98)</f>
        <v>0.02570694087</v>
      </c>
      <c r="C106" s="63">
        <f>IF(B106&gt;0, SUMIFS(Февраль_2025[[#ALL],[Выручка (руб/мес)]],Февраль_2025[[#ALL],[Филиал ТЦ]],B$98,Февраль_2025[[#ALL],[Категория]],$A106)/SUMIFS(Февраль_2025[[#ALL],[Продажи/мес]],Февраль_2025[[#ALL],[Филиал ТЦ]],B$98,Февраль_2025[[#ALL],[Категория]],$A106), "нет категории")</f>
        <v>87083.33333</v>
      </c>
      <c r="D106" s="64">
        <f>IF(B106&gt;0, SUMIFS(Февраль_2025[[#ALL],[Выручка (руб/мес)]],Февраль_2025[[#ALL],[Филиал ТЦ]],B$98,Февраль_2025[[#ALL],[Категория]],$A106)/SUMIFS(Февраль_2025[[#ALL],[Площадь (м²)]],Февраль_2025[[#ALL],[Филиал ТЦ]],B$98,Февраль_2025[[#ALL],[Категория]],$A106), "нет категории")</f>
        <v>26125</v>
      </c>
      <c r="E106" s="62">
        <f>SUMIFS(Февраль_2025[[#ALL],[Площадь (м²)]],Февраль_2025[[#ALL],[Филиал ТЦ]],E$98,Февраль_2025[[#ALL],[Категория]],$A106)/SUMIFS(Февраль_2025[[#ALL],[Площадь (м²)]],Февраль_2025[[#ALL],[Филиал ТЦ]],E$98)</f>
        <v>0.08272058824</v>
      </c>
      <c r="F106" s="63">
        <f>IF(E106&gt;0, SUMIFS(Февраль_2025[[#ALL],[Выручка (руб/мес)]],Февраль_2025[[#ALL],[Филиал ТЦ]],E$98,Февраль_2025[[#ALL],[Категория]],$A106)/SUMIFS(Февраль_2025[[#ALL],[Продажи/мес]],Февраль_2025[[#ALL],[Филиал ТЦ]],E$98,Февраль_2025[[#ALL],[Категория]],$A106), "нет категории")</f>
        <v>310000</v>
      </c>
      <c r="G106" s="64">
        <f>IF(E106&gt;0,SUMIFS(Февраль_2025[[#ALL],[Выручка (руб/мес)]],Февраль_2025[[#ALL],[Филиал ТЦ]],E$98,Февраль_2025[[#ALL],[Категория]],$A106)/SUMIFS(Февраль_2025[[#ALL],[Площадь (м²)]],Февраль_2025[[#ALL],[Филиал ТЦ]],E$98,Февраль_2025[[#ALL],[Категория]],$A106), "нет категории")</f>
        <v>17222.22222</v>
      </c>
      <c r="H106" s="62">
        <f>SUMIFS(Февраль_2025[[#ALL],[Площадь (м²)]],Февраль_2025[[#ALL],[Филиал ТЦ]],H$98,Февраль_2025[[#ALL],[Категория]],$A106)/SUMIFS(Февраль_2025[[#ALL],[Площадь (м²)]],Февраль_2025[[#ALL],[Филиал ТЦ]],H$98)</f>
        <v>0.0539083558</v>
      </c>
      <c r="I106" s="63">
        <f>IF(H106&gt;0, SUMIFS(Февраль_2025[[#ALL],[Выручка (руб/мес)]],Февраль_2025[[#ALL],[Филиал ТЦ]],H$98,Февраль_2025[[#ALL],[Категория]],$A106)/SUMIFS(Февраль_2025[[#ALL],[Продажи/мес]],Февраль_2025[[#ALL],[Филиал ТЦ]],H$98,Февраль_2025[[#ALL],[Категория]],$A106), "нет категории")</f>
        <v>21714.28571</v>
      </c>
      <c r="J106" s="64">
        <f>IF(H106&gt;0, SUMIFS(Февраль_2025[[#ALL],[Выручка (руб/мес)]],Февраль_2025[[#ALL],[Филиал ТЦ]],H$98,Февраль_2025[[#ALL],[Категория]],$A106)/SUMIFS(Февраль_2025[[#ALL],[Площадь (м²)]],Февраль_2025[[#ALL],[Филиал ТЦ]],H$98,Февраль_2025[[#ALL],[Категория]],$A106), "нет категории")</f>
        <v>15200</v>
      </c>
      <c r="K106" s="62">
        <f>SUMIFS(Февраль_2025[[#ALL],[Площадь (м²)]],Февраль_2025[[#ALL],[Филиал ТЦ]],K$98,Февраль_2025[[#ALL],[Категория]],$A106)/SUMIFS(Февраль_2025[[#ALL],[Площадь (м²)]],Февраль_2025[[#ALL],[Филиал ТЦ]],K$98)</f>
        <v>0.01931330472</v>
      </c>
      <c r="L106" s="63">
        <f>IF(K106&gt;0, SUMIFS(Февраль_2025[[#ALL],[Выручка (руб/мес)]],Февраль_2025[[#ALL],[Филиал ТЦ]],K$98,Февраль_2025[[#ALL],[Категория]],$A106)/SUMIFS(Февраль_2025[[#ALL],[Продажи/мес]],Февраль_2025[[#ALL],[Филиал ТЦ]],K$98,Февраль_2025[[#ALL],[Категория]],$A106), "нет категории")</f>
        <v>24000</v>
      </c>
      <c r="M106" s="64">
        <f>IF(K106&gt;0, SUMIFS(Февраль_2025[[#ALL],[Выручка (руб/мес)]],Февраль_2025[[#ALL],[Филиал ТЦ]],K$98,Февраль_2025[[#ALL],[Категория]],$A106)/SUMIFS(Февраль_2025[[#ALL],[Площадь (м²)]],Февраль_2025[[#ALL],[Филиал ТЦ]],K$98,Февраль_2025[[#ALL],[Категория]],$A106), "нет категории")</f>
        <v>37333.33333</v>
      </c>
    </row>
    <row r="107" ht="21.0" customHeight="1">
      <c r="A107" s="61" t="s">
        <v>57</v>
      </c>
      <c r="B107" s="62">
        <f>SUMIFS(Февраль_2025[[#ALL],[Площадь (м²)]],Февраль_2025[[#ALL],[Филиал ТЦ]],B$98,Февраль_2025[[#ALL],[Категория]],$A107)/SUMIFS(Февраль_2025[[#ALL],[Площадь (м²)]],Февраль_2025[[#ALL],[Филиал ТЦ]],B$98)</f>
        <v>0.2538560411</v>
      </c>
      <c r="C107" s="63">
        <f>IF(B107&gt;0, SUMIFS(Февраль_2025[[#ALL],[Выручка (руб/мес)]],Февраль_2025[[#ALL],[Филиал ТЦ]],B$98,Февраль_2025[[#ALL],[Категория]],$A107)/SUMIFS(Февраль_2025[[#ALL],[Продажи/мес]],Февраль_2025[[#ALL],[Филиал ТЦ]],B$98,Февраль_2025[[#ALL],[Категория]],$A107), "нет категории")</f>
        <v>73394.49541</v>
      </c>
      <c r="D107" s="64">
        <f>IF(B107&gt;0, SUMIFS(Февраль_2025[[#ALL],[Выручка (руб/мес)]],Февраль_2025[[#ALL],[Филиал ТЦ]],B$98,Февраль_2025[[#ALL],[Категория]],$A107)/SUMIFS(Февраль_2025[[#ALL],[Площадь (м²)]],Февраль_2025[[#ALL],[Филиал ТЦ]],B$98,Февраль_2025[[#ALL],[Категория]],$A107), "нет категории")</f>
        <v>10126.58228</v>
      </c>
      <c r="E107" s="62">
        <f>SUMIFS(Февраль_2025[[#ALL],[Площадь (м²)]],Февраль_2025[[#ALL],[Филиал ТЦ]],E$98,Февраль_2025[[#ALL],[Категория]],$A107)/SUMIFS(Февраль_2025[[#ALL],[Площадь (м²)]],Февраль_2025[[#ALL],[Филиал ТЦ]],E$98)</f>
        <v>0</v>
      </c>
      <c r="F107" s="63" t="str">
        <f>IF(E107&gt;0, SUMIFS(Февраль_2025[[#ALL],[Выручка (руб/мес)]],Февраль_2025[[#ALL],[Филиал ТЦ]],E$98,Февраль_2025[[#ALL],[Категория]],$A107)/SUMIFS(Февраль_2025[[#ALL],[Продажи/мес]],Февраль_2025[[#ALL],[Филиал ТЦ]],E$98,Февраль_2025[[#ALL],[Категория]],$A107), "нет категории")</f>
        <v>нет категории</v>
      </c>
      <c r="G107" s="64" t="str">
        <f>IF(E107&gt;0,SUMIFS(Февраль_2025[[#ALL],[Выручка (руб/мес)]],Февраль_2025[[#ALL],[Филиал ТЦ]],E$98,Февраль_2025[[#ALL],[Категория]],$A107)/SUMIFS(Февраль_2025[[#ALL],[Площадь (м²)]],Февраль_2025[[#ALL],[Филиал ТЦ]],E$98,Февраль_2025[[#ALL],[Категория]],$A107), "нет категории")</f>
        <v>нет категории</v>
      </c>
      <c r="H107" s="62">
        <f>SUMIFS(Февраль_2025[[#ALL],[Площадь (м²)]],Февраль_2025[[#ALL],[Филиал ТЦ]],H$98,Февраль_2025[[#ALL],[Категория]],$A107)/SUMIFS(Февраль_2025[[#ALL],[Площадь (м²)]],Февраль_2025[[#ALL],[Филиал ТЦ]],H$98)</f>
        <v>0</v>
      </c>
      <c r="I107" s="63" t="str">
        <f>IF(H107&gt;0, SUMIFS(Февраль_2025[[#ALL],[Выручка (руб/мес)]],Февраль_2025[[#ALL],[Филиал ТЦ]],H$98,Февраль_2025[[#ALL],[Категория]],$A107)/SUMIFS(Февраль_2025[[#ALL],[Продажи/мес]],Февраль_2025[[#ALL],[Филиал ТЦ]],H$98,Февраль_2025[[#ALL],[Категория]],$A107), "нет категории")</f>
        <v>нет категории</v>
      </c>
      <c r="J107" s="64" t="str">
        <f>IF(H107&gt;0, SUMIFS(Февраль_2025[[#ALL],[Выручка (руб/мес)]],Февраль_2025[[#ALL],[Филиал ТЦ]],H$98,Февраль_2025[[#ALL],[Категория]],$A107)/SUMIFS(Февраль_2025[[#ALL],[Площадь (м²)]],Февраль_2025[[#ALL],[Филиал ТЦ]],H$98,Февраль_2025[[#ALL],[Категория]],$A107), "нет категории")</f>
        <v>нет категории</v>
      </c>
      <c r="K107" s="62">
        <f>SUMIFS(Февраль_2025[[#ALL],[Площадь (м²)]],Февраль_2025[[#ALL],[Филиал ТЦ]],K$98,Февраль_2025[[#ALL],[Категория]],$A107)/SUMIFS(Февраль_2025[[#ALL],[Площадь (м²)]],Февраль_2025[[#ALL],[Филиал ТЦ]],K$98)</f>
        <v>0.05879828326</v>
      </c>
      <c r="L107" s="63">
        <f>IF(K107&gt;0, SUMIFS(Февраль_2025[[#ALL],[Выручка (руб/мес)]],Февраль_2025[[#ALL],[Филиал ТЦ]],K$98,Февраль_2025[[#ALL],[Категория]],$A107)/SUMIFS(Февраль_2025[[#ALL],[Продажи/мес]],Февраль_2025[[#ALL],[Филиал ТЦ]],K$98,Февраль_2025[[#ALL],[Категория]],$A107), "нет категории")</f>
        <v>35760</v>
      </c>
      <c r="M107" s="64">
        <f>IF(K107&gt;0, SUMIFS(Февраль_2025[[#ALL],[Выручка (руб/мес)]],Февраль_2025[[#ALL],[Филиал ТЦ]],K$98,Февраль_2025[[#ALL],[Категория]],$A107)/SUMIFS(Февраль_2025[[#ALL],[Площадь (м²)]],Февраль_2025[[#ALL],[Филиал ТЦ]],K$98,Февраль_2025[[#ALL],[Категория]],$A107), "нет категории")</f>
        <v>6525.547445</v>
      </c>
    </row>
    <row r="108" ht="21.0" customHeight="1">
      <c r="A108" s="61" t="s">
        <v>158</v>
      </c>
      <c r="B108" s="62">
        <f>SUMIFS(Февраль_2025[[#ALL],[Площадь (м²)]],Февраль_2025[[#ALL],[Филиал ТЦ]],B$98,Февраль_2025[[#ALL],[Категория]],$A108)/SUMIFS(Февраль_2025[[#ALL],[Площадь (м²)]],Февраль_2025[[#ALL],[Филиал ТЦ]],B$98)</f>
        <v>0.02892030848</v>
      </c>
      <c r="C108" s="63">
        <f>IF(B108&gt;0, SUMIFS(Февраль_2025[[#ALL],[Выручка (руб/мес)]],Февраль_2025[[#ALL],[Филиал ТЦ]],B$98,Февраль_2025[[#ALL],[Категория]],$A108)/SUMIFS(Февраль_2025[[#ALL],[Продажи/мес]],Февраль_2025[[#ALL],[Филиал ТЦ]],B$98,Февраль_2025[[#ALL],[Категория]],$A108), "нет категории")</f>
        <v>8809.52381</v>
      </c>
      <c r="D108" s="64">
        <f>IF(B108&gt;0, SUMIFS(Февраль_2025[[#ALL],[Выручка (руб/мес)]],Февраль_2025[[#ALL],[Филиал ТЦ]],B$98,Февраль_2025[[#ALL],[Категория]],$A108)/SUMIFS(Февраль_2025[[#ALL],[Площадь (м²)]],Февраль_2025[[#ALL],[Филиал ТЦ]],B$98,Февраль_2025[[#ALL],[Категория]],$A108), "нет категории")</f>
        <v>2055.555556</v>
      </c>
      <c r="E108" s="62">
        <f>SUMIFS(Февраль_2025[[#ALL],[Площадь (м²)]],Февраль_2025[[#ALL],[Филиал ТЦ]],E$98,Февраль_2025[[#ALL],[Категория]],$A108)/SUMIFS(Февраль_2025[[#ALL],[Площадь (м²)]],Февраль_2025[[#ALL],[Филиал ТЦ]],E$98)</f>
        <v>0.03676470588</v>
      </c>
      <c r="F108" s="63">
        <f>IF(E108&gt;0, SUMIFS(Февраль_2025[[#ALL],[Выручка (руб/мес)]],Февраль_2025[[#ALL],[Филиал ТЦ]],E$98,Февраль_2025[[#ALL],[Категория]],$A108)/SUMIFS(Февраль_2025[[#ALL],[Продажи/мес]],Февраль_2025[[#ALL],[Филиал ТЦ]],E$98,Февраль_2025[[#ALL],[Категория]],$A108), "нет категории")</f>
        <v>14166.66667</v>
      </c>
      <c r="G108" s="64">
        <f>IF(E108&gt;0,SUMIFS(Февраль_2025[[#ALL],[Выручка (руб/мес)]],Февраль_2025[[#ALL],[Филиал ТЦ]],E$98,Февраль_2025[[#ALL],[Категория]],$A108)/SUMIFS(Февраль_2025[[#ALL],[Площадь (м²)]],Февраль_2025[[#ALL],[Филиал ТЦ]],E$98,Февраль_2025[[#ALL],[Категория]],$A108), "нет категории")</f>
        <v>1062.5</v>
      </c>
      <c r="H108" s="62">
        <f>SUMIFS(Февраль_2025[[#ALL],[Площадь (м²)]],Февраль_2025[[#ALL],[Филиал ТЦ]],H$98,Февраль_2025[[#ALL],[Категория]],$A108)/SUMIFS(Февраль_2025[[#ALL],[Площадь (м²)]],Февраль_2025[[#ALL],[Филиал ТЦ]],H$98)</f>
        <v>0.03773584906</v>
      </c>
      <c r="I108" s="63">
        <f>IF(H108&gt;0, SUMIFS(Февраль_2025[[#ALL],[Выручка (руб/мес)]],Февраль_2025[[#ALL],[Филиал ТЦ]],H$98,Февраль_2025[[#ALL],[Категория]],$A108)/SUMIFS(Февраль_2025[[#ALL],[Продажи/мес]],Февраль_2025[[#ALL],[Филиал ТЦ]],H$98,Февраль_2025[[#ALL],[Категория]],$A108), "нет категории")</f>
        <v>10454.54545</v>
      </c>
      <c r="J108" s="64">
        <f>IF(H108&gt;0, SUMIFS(Февраль_2025[[#ALL],[Выручка (руб/мес)]],Февраль_2025[[#ALL],[Филиал ТЦ]],H$98,Февраль_2025[[#ALL],[Категория]],$A108)/SUMIFS(Февраль_2025[[#ALL],[Площадь (м²)]],Февраль_2025[[#ALL],[Филиал ТЦ]],H$98,Февраль_2025[[#ALL],[Категория]],$A108), "нет категории")</f>
        <v>1642.857143</v>
      </c>
      <c r="K108" s="62">
        <f>SUMIFS(Февраль_2025[[#ALL],[Площадь (м²)]],Февраль_2025[[#ALL],[Филиал ТЦ]],K$98,Февраль_2025[[#ALL],[Категория]],$A108)/SUMIFS(Февраль_2025[[#ALL],[Площадь (м²)]],Февраль_2025[[#ALL],[Филиал ТЦ]],K$98)</f>
        <v>0.02575107296</v>
      </c>
      <c r="L108" s="63">
        <f>IF(K108&gt;0, SUMIFS(Февраль_2025[[#ALL],[Выручка (руб/мес)]],Февраль_2025[[#ALL],[Филиал ТЦ]],K$98,Февраль_2025[[#ALL],[Категория]],$A108)/SUMIFS(Февраль_2025[[#ALL],[Продажи/мес]],Февраль_2025[[#ALL],[Филиал ТЦ]],K$98,Февраль_2025[[#ALL],[Категория]],$A108), "нет категории")</f>
        <v>27500</v>
      </c>
      <c r="M108" s="64">
        <f>IF(K108&gt;0, SUMIFS(Февраль_2025[[#ALL],[Выручка (руб/мес)]],Февраль_2025[[#ALL],[Филиал ТЦ]],K$98,Февраль_2025[[#ALL],[Категория]],$A108)/SUMIFS(Февраль_2025[[#ALL],[Площадь (м²)]],Февраль_2025[[#ALL],[Филиал ТЦ]],K$98,Февраль_2025[[#ALL],[Категория]],$A108), "нет категории")</f>
        <v>916.6666667</v>
      </c>
    </row>
    <row r="109" ht="21.0" customHeight="1">
      <c r="A109" s="61" t="s">
        <v>12</v>
      </c>
      <c r="B109" s="62">
        <f>SUMIFS(Февраль_2025[[#ALL],[Площадь (м²)]],Февраль_2025[[#ALL],[Филиал ТЦ]],B$98,Февраль_2025[[#ALL],[Категория]],$A109)/SUMIFS(Февраль_2025[[#ALL],[Площадь (м²)]],Февраль_2025[[#ALL],[Филиал ТЦ]],B$98)</f>
        <v>0.04820051414</v>
      </c>
      <c r="C109" s="63">
        <f>IF(B109&gt;0, SUMIFS(Февраль_2025[[#ALL],[Выручка (руб/мес)]],Февраль_2025[[#ALL],[Филиал ТЦ]],B$98,Февраль_2025[[#ALL],[Категория]],$A109)/SUMIFS(Февраль_2025[[#ALL],[Продажи/мес]],Февраль_2025[[#ALL],[Филиал ТЦ]],B$98,Февраль_2025[[#ALL],[Категория]],$A109), "нет категории")</f>
        <v>18214.28571</v>
      </c>
      <c r="D109" s="64">
        <f>IF(B109&gt;0, SUMIFS(Февраль_2025[[#ALL],[Выручка (руб/мес)]],Февраль_2025[[#ALL],[Филиал ТЦ]],B$98,Февраль_2025[[#ALL],[Категория]],$A109)/SUMIFS(Февраль_2025[[#ALL],[Площадь (м²)]],Февраль_2025[[#ALL],[Филиал ТЦ]],B$98,Февраль_2025[[#ALL],[Категория]],$A109), "нет категории")</f>
        <v>8500</v>
      </c>
      <c r="E109" s="62">
        <f>SUMIFS(Февраль_2025[[#ALL],[Площадь (м²)]],Февраль_2025[[#ALL],[Филиал ТЦ]],E$98,Февраль_2025[[#ALL],[Категория]],$A109)/SUMIFS(Февраль_2025[[#ALL],[Площадь (м²)]],Февраль_2025[[#ALL],[Филиал ТЦ]],E$98)</f>
        <v>0.06433823529</v>
      </c>
      <c r="F109" s="63">
        <f>IF(E109&gt;0, SUMIFS(Февраль_2025[[#ALL],[Выручка (руб/мес)]],Февраль_2025[[#ALL],[Филиал ТЦ]],E$98,Февраль_2025[[#ALL],[Категория]],$A109)/SUMIFS(Февраль_2025[[#ALL],[Продажи/мес]],Февраль_2025[[#ALL],[Филиал ТЦ]],E$98,Февраль_2025[[#ALL],[Категория]],$A109), "нет категории")</f>
        <v>14347.82609</v>
      </c>
      <c r="G109" s="64">
        <f>IF(E109&gt;0,SUMIFS(Февраль_2025[[#ALL],[Выручка (руб/мес)]],Февраль_2025[[#ALL],[Филиал ТЦ]],E$98,Февраль_2025[[#ALL],[Категория]],$A109)/SUMIFS(Февраль_2025[[#ALL],[Площадь (м²)]],Февраль_2025[[#ALL],[Филиал ТЦ]],E$98,Февраль_2025[[#ALL],[Категория]],$A109), "нет категории")</f>
        <v>7071.428571</v>
      </c>
      <c r="H109" s="62">
        <f>SUMIFS(Февраль_2025[[#ALL],[Площадь (м²)]],Февраль_2025[[#ALL],[Филиал ТЦ]],H$98,Февраль_2025[[#ALL],[Категория]],$A109)/SUMIFS(Февраль_2025[[#ALL],[Площадь (м²)]],Февраль_2025[[#ALL],[Филиал ТЦ]],H$98)</f>
        <v>0.07008086253</v>
      </c>
      <c r="I109" s="63">
        <f>IF(H109&gt;0, SUMIFS(Февраль_2025[[#ALL],[Выручка (руб/мес)]],Февраль_2025[[#ALL],[Филиал ТЦ]],H$98,Февраль_2025[[#ALL],[Категория]],$A109)/SUMIFS(Февраль_2025[[#ALL],[Продажи/мес]],Февраль_2025[[#ALL],[Филиал ТЦ]],H$98,Февраль_2025[[#ALL],[Категория]],$A109), "нет категории")</f>
        <v>19245.28302</v>
      </c>
      <c r="J109" s="64">
        <f>IF(H109&gt;0, SUMIFS(Февраль_2025[[#ALL],[Выручка (руб/мес)]],Февраль_2025[[#ALL],[Филиал ТЦ]],H$98,Февраль_2025[[#ALL],[Категория]],$A109)/SUMIFS(Февраль_2025[[#ALL],[Площадь (м²)]],Февраль_2025[[#ALL],[Филиал ТЦ]],H$98,Февраль_2025[[#ALL],[Категория]],$A109), "нет категории")</f>
        <v>7846.153846</v>
      </c>
      <c r="K109" s="62">
        <f>SUMIFS(Февраль_2025[[#ALL],[Площадь (м²)]],Февраль_2025[[#ALL],[Филиал ТЦ]],K$98,Февраль_2025[[#ALL],[Категория]],$A109)/SUMIFS(Февраль_2025[[#ALL],[Площадь (м²)]],Февраль_2025[[#ALL],[Филиал ТЦ]],K$98)</f>
        <v>0.05150214592</v>
      </c>
      <c r="L109" s="63">
        <f>IF(K109&gt;0, SUMIFS(Февраль_2025[[#ALL],[Выручка (руб/мес)]],Февраль_2025[[#ALL],[Филиал ТЦ]],K$98,Февраль_2025[[#ALL],[Категория]],$A109)/SUMIFS(Февраль_2025[[#ALL],[Продажи/мес]],Февраль_2025[[#ALL],[Филиал ТЦ]],K$98,Февраль_2025[[#ALL],[Категория]],$A109), "нет категории")</f>
        <v>15000</v>
      </c>
      <c r="M109" s="64">
        <f>IF(K109&gt;0, SUMIFS(Февраль_2025[[#ALL],[Выручка (руб/мес)]],Февраль_2025[[#ALL],[Филиал ТЦ]],K$98,Февраль_2025[[#ALL],[Категория]],$A109)/SUMIFS(Февраль_2025[[#ALL],[Площадь (м²)]],Февраль_2025[[#ALL],[Филиал ТЦ]],K$98,Февраль_2025[[#ALL],[Категория]],$A109), "нет категории")</f>
        <v>7500</v>
      </c>
    </row>
    <row r="110" ht="21.0" customHeight="1">
      <c r="A110" s="61" t="s">
        <v>149</v>
      </c>
      <c r="B110" s="62">
        <f>SUMIFS(Февраль_2025[[#ALL],[Площадь (м²)]],Февраль_2025[[#ALL],[Филиал ТЦ]],B$98,Февраль_2025[[#ALL],[Категория]],$A110)/SUMIFS(Февраль_2025[[#ALL],[Площадь (м²)]],Февраль_2025[[#ALL],[Филиал ТЦ]],B$98)</f>
        <v>0.04177377892</v>
      </c>
      <c r="C110" s="63">
        <f>IF(B110&gt;0, SUMIFS(Февраль_2025[[#ALL],[Выручка (руб/мес)]],Февраль_2025[[#ALL],[Филиал ТЦ]],B$98,Февраль_2025[[#ALL],[Категория]],$A110)/SUMIFS(Февраль_2025[[#ALL],[Продажи/мес]],Февраль_2025[[#ALL],[Филиал ТЦ]],B$98,Февраль_2025[[#ALL],[Категория]],$A110), "нет категории")</f>
        <v>26000</v>
      </c>
      <c r="D110" s="64">
        <f>IF(B110&gt;0, SUMIFS(Февраль_2025[[#ALL],[Выручка (руб/мес)]],Февраль_2025[[#ALL],[Филиал ТЦ]],B$98,Февраль_2025[[#ALL],[Категория]],$A110)/SUMIFS(Февраль_2025[[#ALL],[Площадь (м²)]],Февраль_2025[[#ALL],[Филиал ТЦ]],B$98,Февраль_2025[[#ALL],[Категория]],$A110), "нет категории")</f>
        <v>14000</v>
      </c>
      <c r="E110" s="62">
        <f>SUMIFS(Февраль_2025[[#ALL],[Площадь (м²)]],Февраль_2025[[#ALL],[Филиал ТЦ]],E$98,Февраль_2025[[#ALL],[Категория]],$A110)/SUMIFS(Февраль_2025[[#ALL],[Площадь (м²)]],Февраль_2025[[#ALL],[Филиал ТЦ]],E$98)</f>
        <v>0.05514705882</v>
      </c>
      <c r="F110" s="63">
        <f>IF(E110&gt;0, SUMIFS(Февраль_2025[[#ALL],[Выручка (руб/мес)]],Февраль_2025[[#ALL],[Филиал ТЦ]],E$98,Февраль_2025[[#ALL],[Категория]],$A110)/SUMIFS(Февраль_2025[[#ALL],[Продажи/мес]],Февраль_2025[[#ALL],[Филиал ТЦ]],E$98,Февраль_2025[[#ALL],[Категория]],$A110), "нет категории")</f>
        <v>222222.2222</v>
      </c>
      <c r="G110" s="64">
        <f>IF(E110&gt;0,SUMIFS(Февраль_2025[[#ALL],[Выручка (руб/мес)]],Февраль_2025[[#ALL],[Филиал ТЦ]],E$98,Февраль_2025[[#ALL],[Категория]],$A110)/SUMIFS(Февраль_2025[[#ALL],[Площадь (м²)]],Февраль_2025[[#ALL],[Филиал ТЦ]],E$98,Февраль_2025[[#ALL],[Категория]],$A110), "нет категории")</f>
        <v>100000</v>
      </c>
      <c r="H110" s="62">
        <f>SUMIFS(Февраль_2025[[#ALL],[Площадь (м²)]],Февраль_2025[[#ALL],[Филиал ТЦ]],H$98,Февраль_2025[[#ALL],[Категория]],$A110)/SUMIFS(Февраль_2025[[#ALL],[Площадь (м²)]],Февраль_2025[[#ALL],[Филиал ТЦ]],H$98)</f>
        <v>0.05929919137</v>
      </c>
      <c r="I110" s="63">
        <f>IF(H110&gt;0, SUMIFS(Февраль_2025[[#ALL],[Выручка (руб/мес)]],Февраль_2025[[#ALL],[Филиал ТЦ]],H$98,Февраль_2025[[#ALL],[Категория]],$A110)/SUMIFS(Февраль_2025[[#ALL],[Продажи/мес]],Февраль_2025[[#ALL],[Филиал ТЦ]],H$98,Февраль_2025[[#ALL],[Категория]],$A110), "нет категории")</f>
        <v>28571.42857</v>
      </c>
      <c r="J110" s="64">
        <f>IF(H110&gt;0, SUMIFS(Февраль_2025[[#ALL],[Выручка (руб/мес)]],Февраль_2025[[#ALL],[Филиал ТЦ]],H$98,Февраль_2025[[#ALL],[Категория]],$A110)/SUMIFS(Февраль_2025[[#ALL],[Площадь (м²)]],Февраль_2025[[#ALL],[Филиал ТЦ]],H$98,Февраль_2025[[#ALL],[Категория]],$A110), "нет категории")</f>
        <v>14545.45455</v>
      </c>
      <c r="K110" s="62">
        <f>SUMIFS(Февраль_2025[[#ALL],[Площадь (м²)]],Февраль_2025[[#ALL],[Филиал ТЦ]],K$98,Февраль_2025[[#ALL],[Категория]],$A110)/SUMIFS(Февраль_2025[[#ALL],[Площадь (м²)]],Февраль_2025[[#ALL],[Филиал ТЦ]],K$98)</f>
        <v>0.04291845494</v>
      </c>
      <c r="L110" s="63">
        <f>IF(K110&gt;0, SUMIFS(Февраль_2025[[#ALL],[Выручка (руб/мес)]],Февраль_2025[[#ALL],[Филиал ТЦ]],K$98,Февраль_2025[[#ALL],[Категория]],$A110)/SUMIFS(Февраль_2025[[#ALL],[Продажи/мес]],Февраль_2025[[#ALL],[Филиал ТЦ]],K$98,Февраль_2025[[#ALL],[Категория]],$A110), "нет категории")</f>
        <v>22000</v>
      </c>
      <c r="M110" s="64">
        <f>IF(K110&gt;0, SUMIFS(Февраль_2025[[#ALL],[Выручка (руб/мес)]],Февраль_2025[[#ALL],[Филиал ТЦ]],K$98,Февраль_2025[[#ALL],[Категория]],$A110)/SUMIFS(Февраль_2025[[#ALL],[Площадь (м²)]],Февраль_2025[[#ALL],[Филиал ТЦ]],K$98,Февраль_2025[[#ALL],[Категория]],$A110), "нет категории")</f>
        <v>12100</v>
      </c>
    </row>
    <row r="111" ht="21.0" customHeight="1">
      <c r="A111" s="61" t="s">
        <v>137</v>
      </c>
      <c r="B111" s="62">
        <f>SUMIFS(Февраль_2025[[#ALL],[Площадь (м²)]],Февраль_2025[[#ALL],[Филиал ТЦ]],B$98,Февраль_2025[[#ALL],[Категория]],$A111)/SUMIFS(Февраль_2025[[#ALL],[Площадь (м²)]],Февраль_2025[[#ALL],[Филиал ТЦ]],B$98)</f>
        <v>0</v>
      </c>
      <c r="C111" s="63" t="str">
        <f>IF(B111&gt;0, SUMIFS(Февраль_2025[[#ALL],[Выручка (руб/мес)]],Февраль_2025[[#ALL],[Филиал ТЦ]],B$98,Февраль_2025[[#ALL],[Категория]],$A111)/SUMIFS(Февраль_2025[[#ALL],[Продажи/мес]],Февраль_2025[[#ALL],[Филиал ТЦ]],B$98,Февраль_2025[[#ALL],[Категория]],$A111), "нет категории")</f>
        <v>нет категории</v>
      </c>
      <c r="D111" s="64" t="str">
        <f>IF(B111&gt;0, SUMIFS(Февраль_2025[[#ALL],[Выручка (руб/мес)]],Февраль_2025[[#ALL],[Филиал ТЦ]],B$98,Февраль_2025[[#ALL],[Категория]],$A111)/SUMIFS(Февраль_2025[[#ALL],[Площадь (м²)]],Февраль_2025[[#ALL],[Филиал ТЦ]],B$98,Февраль_2025[[#ALL],[Категория]],$A111), "нет категории")</f>
        <v>нет категории</v>
      </c>
      <c r="E111" s="62">
        <f>SUMIFS(Февраль_2025[[#ALL],[Площадь (м²)]],Февраль_2025[[#ALL],[Филиал ТЦ]],E$98,Февраль_2025[[#ALL],[Категория]],$A111)/SUMIFS(Февраль_2025[[#ALL],[Площадь (м²)]],Февраль_2025[[#ALL],[Филиал ТЦ]],E$98)</f>
        <v>0</v>
      </c>
      <c r="F111" s="63" t="str">
        <f>IF(E111&gt;0, SUMIFS(Февраль_2025[[#ALL],[Выручка (руб/мес)]],Февраль_2025[[#ALL],[Филиал ТЦ]],E$98,Февраль_2025[[#ALL],[Категория]],$A111)/SUMIFS(Февраль_2025[[#ALL],[Продажи/мес]],Февраль_2025[[#ALL],[Филиал ТЦ]],E$98,Февраль_2025[[#ALL],[Категория]],$A111), "нет категории")</f>
        <v>нет категории</v>
      </c>
      <c r="G111" s="64" t="str">
        <f>IF(E111&gt;0,SUMIFS(Февраль_2025[[#ALL],[Выручка (руб/мес)]],Февраль_2025[[#ALL],[Филиал ТЦ]],E$98,Февраль_2025[[#ALL],[Категория]],$A111)/SUMIFS(Февраль_2025[[#ALL],[Площадь (м²)]],Февраль_2025[[#ALL],[Филиал ТЦ]],E$98,Февраль_2025[[#ALL],[Категория]],$A111), "нет категории")</f>
        <v>нет категории</v>
      </c>
      <c r="H111" s="62">
        <f>SUMIFS(Февраль_2025[[#ALL],[Площадь (м²)]],Февраль_2025[[#ALL],[Филиал ТЦ]],H$98,Февраль_2025[[#ALL],[Категория]],$A111)/SUMIFS(Февраль_2025[[#ALL],[Площадь (м²)]],Февраль_2025[[#ALL],[Филиал ТЦ]],H$98)</f>
        <v>0</v>
      </c>
      <c r="I111" s="63" t="str">
        <f>IF(H111&gt;0, SUMIFS(Февраль_2025[[#ALL],[Выручка (руб/мес)]],Февраль_2025[[#ALL],[Филиал ТЦ]],H$98,Февраль_2025[[#ALL],[Категория]],$A111)/SUMIFS(Февраль_2025[[#ALL],[Продажи/мес]],Февраль_2025[[#ALL],[Филиал ТЦ]],H$98,Февраль_2025[[#ALL],[Категория]],$A111), "нет категории")</f>
        <v>нет категории</v>
      </c>
      <c r="J111" s="64" t="str">
        <f>IF(H111&gt;0, SUMIFS(Февраль_2025[[#ALL],[Выручка (руб/мес)]],Февраль_2025[[#ALL],[Филиал ТЦ]],H$98,Февраль_2025[[#ALL],[Категория]],$A111)/SUMIFS(Февраль_2025[[#ALL],[Площадь (м²)]],Февраль_2025[[#ALL],[Филиал ТЦ]],H$98,Февраль_2025[[#ALL],[Категория]],$A111), "нет категории")</f>
        <v>нет категории</v>
      </c>
      <c r="K111" s="62">
        <f>SUMIFS(Февраль_2025[[#ALL],[Площадь (м²)]],Февраль_2025[[#ALL],[Филиал ТЦ]],K$98,Февраль_2025[[#ALL],[Категория]],$A111)/SUMIFS(Февраль_2025[[#ALL],[Площадь (м²)]],Февраль_2025[[#ALL],[Филиал ТЦ]],K$98)</f>
        <v>0.186695279</v>
      </c>
      <c r="L111" s="63" t="str">
        <f>IF(K111&gt;0, SUMIFS(Февраль_2025[[#ALL],[Выручка (руб/мес)]],Февраль_2025[[#ALL],[Филиал ТЦ]],K$98,Февраль_2025[[#ALL],[Категория]],$A111)/SUMIFS(Февраль_2025[[#ALL],[Продажи/мес]],Февраль_2025[[#ALL],[Филиал ТЦ]],K$98,Февраль_2025[[#ALL],[Категория]],$A111), "нет категории")</f>
        <v>#DIV/0!</v>
      </c>
      <c r="M111" s="64">
        <f>IF(K111&gt;0, SUMIFS(Февраль_2025[[#ALL],[Выручка (руб/мес)]],Февраль_2025[[#ALL],[Филиал ТЦ]],K$98,Февраль_2025[[#ALL],[Категория]],$A111)/SUMIFS(Февраль_2025[[#ALL],[Площадь (м²)]],Февраль_2025[[#ALL],[Филиал ТЦ]],K$98,Февраль_2025[[#ALL],[Категория]],$A111), "нет категории")</f>
        <v>0</v>
      </c>
    </row>
    <row r="112">
      <c r="A112" s="31"/>
      <c r="B112" s="31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</row>
    <row r="113">
      <c r="A113" s="31"/>
      <c r="B113" s="31"/>
      <c r="C113" s="28"/>
      <c r="D113" s="31"/>
      <c r="E113" s="28"/>
      <c r="F113" s="32"/>
      <c r="H113" s="28"/>
      <c r="I113" s="28"/>
      <c r="J113" s="28"/>
      <c r="K113" s="28"/>
      <c r="L113" s="28"/>
      <c r="M113" s="28"/>
    </row>
  </sheetData>
  <mergeCells count="4">
    <mergeCell ref="B98:D98"/>
    <mergeCell ref="E98:G98"/>
    <mergeCell ref="H98:J98"/>
    <mergeCell ref="K98:M98"/>
  </mergeCells>
  <conditionalFormatting sqref="C100:C111 F100:F111 I100:I111 L100:L111">
    <cfRule type="colorScale" priority="1">
      <colorScale>
        <cfvo type="min"/>
        <cfvo type="max"/>
        <color rgb="FFFFFFFF"/>
        <color rgb="FFCCCCCC"/>
      </colorScale>
    </cfRule>
  </conditionalFormatting>
  <conditionalFormatting sqref="C100:C111 F100:F111 I100:I111 L100:L111">
    <cfRule type="colorScale" priority="2">
      <colorScale>
        <cfvo type="min"/>
        <cfvo type="max"/>
        <color rgb="FFFFFFFF"/>
        <color rgb="FFCCCCCC"/>
      </colorScale>
    </cfRule>
  </conditionalFormatting>
  <conditionalFormatting sqref="I100:I111 L100:L111">
    <cfRule type="colorScale" priority="3">
      <colorScale>
        <cfvo type="min"/>
        <cfvo type="max"/>
        <color rgb="FFFFFFFF"/>
        <color rgb="FFD9D9D9"/>
      </colorScale>
    </cfRule>
  </conditionalFormatting>
  <conditionalFormatting sqref="L100:L111">
    <cfRule type="colorScale" priority="4">
      <colorScale>
        <cfvo type="min"/>
        <cfvo type="max"/>
        <color rgb="FFFFFFFF"/>
        <color rgb="FFD9D9D9"/>
      </colorScale>
    </cfRule>
  </conditionalFormatting>
  <conditionalFormatting sqref="D100:D111 G100:G111 J100:J111 M100:M111">
    <cfRule type="colorScale" priority="5">
      <colorScale>
        <cfvo type="min"/>
        <cfvo type="max"/>
        <color rgb="FFFFFFFF"/>
        <color rgb="FFD9EAD3"/>
      </colorScale>
    </cfRule>
  </conditionalFormatting>
  <conditionalFormatting sqref="D100:D111 G100:G112 J100:J111 M100:M111">
    <cfRule type="colorScale" priority="6">
      <colorScale>
        <cfvo type="min"/>
        <cfvo type="max"/>
        <color rgb="FFFFFFFF"/>
        <color rgb="FFD9EAD3"/>
      </colorScale>
    </cfRule>
  </conditionalFormatting>
  <conditionalFormatting sqref="J100:J111 M100:M111">
    <cfRule type="colorScale" priority="7">
      <colorScale>
        <cfvo type="min"/>
        <cfvo type="max"/>
        <color rgb="FFFFFFFF"/>
        <color rgb="FFD9EAD3"/>
      </colorScale>
    </cfRule>
  </conditionalFormatting>
  <conditionalFormatting sqref="M100:M111">
    <cfRule type="colorScale" priority="8">
      <colorScale>
        <cfvo type="min"/>
        <cfvo type="max"/>
        <color rgb="FFFFFFFF"/>
        <color rgb="FFD9EAD3"/>
      </colorScale>
    </cfRule>
  </conditionalFormatting>
  <conditionalFormatting sqref="B100:B111 K100:K111">
    <cfRule type="colorScale" priority="9">
      <colorScale>
        <cfvo type="min"/>
        <cfvo type="max"/>
        <color rgb="FFFFFFFF"/>
        <color rgb="FFD9E2F3"/>
      </colorScale>
    </cfRule>
  </conditionalFormatting>
  <conditionalFormatting sqref="E100:E111">
    <cfRule type="colorScale" priority="10">
      <colorScale>
        <cfvo type="min"/>
        <cfvo type="max"/>
        <color rgb="FFFFFFFF"/>
        <color rgb="FFD9E2F3"/>
      </colorScale>
    </cfRule>
  </conditionalFormatting>
  <conditionalFormatting sqref="H100:H111">
    <cfRule type="colorScale" priority="11">
      <colorScale>
        <cfvo type="min"/>
        <cfvo type="max"/>
        <color rgb="FFFFFFFF"/>
        <color rgb="FFD9E2F3"/>
      </colorScale>
    </cfRule>
  </conditionalFormatting>
  <conditionalFormatting sqref="K100:K111">
    <cfRule type="colorScale" priority="12">
      <colorScale>
        <cfvo type="min"/>
        <cfvo type="max"/>
        <color rgb="FFFFFFFF"/>
        <color rgb="FFD9E2F3"/>
      </colorScale>
    </cfRule>
  </conditionalFormatting>
  <dataValidations>
    <dataValidation type="list" allowBlank="1" sqref="A2:A80">
      <formula1>"Мебельный Плаза,Гранд Интерьер,Дом Будущего,Уютный Квартал"</formula1>
    </dataValidation>
    <dataValidation type="list" allowBlank="1" sqref="A91:A94">
      <formula1>"Мебельный Плаза,Гранд Интерьер,Дом Будущего,Уютный Квартал"</formula1>
    </dataValidation>
    <dataValidation type="list" allowBlank="1" sqref="D2:D80">
      <formula1>"Кухонная мебель,Мягкая мебель,Столы и стулья,Предметы интерьера,Детская мебель,Корпусная мебель,Офисная мебель,Кровати и матрасы,Уличная мебель,Двери,Техника,Пустой"</formula1>
    </dataValidation>
    <dataValidation type="custom" allowBlank="1" showDropDown="1" sqref="E2:I80 B91:B94 F91:I94">
      <formula1>AND(ISNUMBER(B2),(NOT(OR(NOT(ISERROR(DATEVALUE(B2))), AND(ISNUMBER(B2), LEFT(CELL("format", B2))="D")))))</formula1>
    </dataValidation>
  </dataValidation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43"/>
    <col customWidth="1" min="2" max="2" width="16.0"/>
    <col customWidth="1" min="3" max="3" width="21.29"/>
    <col customWidth="1" min="4" max="4" width="19.57"/>
    <col customWidth="1" min="5" max="5" width="14.43"/>
    <col customWidth="1" min="6" max="6" width="19.0"/>
    <col customWidth="1" min="7" max="7" width="19.71"/>
    <col customWidth="1" min="8" max="8" width="20.14"/>
    <col customWidth="1" min="9" max="9" width="22.14"/>
    <col customWidth="1" min="10" max="10" width="19.0"/>
    <col customWidth="1" min="11" max="11" width="17.14"/>
    <col customWidth="1" min="12" max="13" width="18.71"/>
  </cols>
  <sheetData>
    <row r="1">
      <c r="A1" s="1" t="s">
        <v>0</v>
      </c>
      <c r="B1" s="1" t="s">
        <v>1</v>
      </c>
      <c r="C1" s="1" t="s">
        <v>178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s">
        <v>10</v>
      </c>
      <c r="C2" s="3" t="s">
        <v>11</v>
      </c>
      <c r="D2" s="4" t="s">
        <v>12</v>
      </c>
      <c r="E2" s="5">
        <v>401.0</v>
      </c>
      <c r="F2" s="5">
        <v>140.0</v>
      </c>
      <c r="G2" s="5">
        <v>71.0</v>
      </c>
      <c r="H2" s="6">
        <v>1125000.0</v>
      </c>
      <c r="I2" s="7">
        <v>35000.0</v>
      </c>
    </row>
    <row r="3">
      <c r="A3" s="2" t="s">
        <v>13</v>
      </c>
      <c r="B3" s="3" t="s">
        <v>14</v>
      </c>
      <c r="C3" s="3" t="s">
        <v>15</v>
      </c>
      <c r="D3" s="4" t="s">
        <v>12</v>
      </c>
      <c r="E3" s="5">
        <v>102.0</v>
      </c>
      <c r="F3" s="5">
        <v>130.0</v>
      </c>
      <c r="G3" s="5">
        <v>60.0</v>
      </c>
      <c r="H3" s="6">
        <v>975000.0</v>
      </c>
      <c r="I3" s="7">
        <v>0.0</v>
      </c>
    </row>
    <row r="4">
      <c r="A4" s="2" t="s">
        <v>16</v>
      </c>
      <c r="B4" s="3" t="s">
        <v>17</v>
      </c>
      <c r="C4" s="3" t="s">
        <v>18</v>
      </c>
      <c r="D4" s="4" t="s">
        <v>12</v>
      </c>
      <c r="E4" s="5">
        <v>201.0</v>
      </c>
      <c r="F4" s="5">
        <v>150.0</v>
      </c>
      <c r="G4" s="5">
        <v>80.0</v>
      </c>
      <c r="H4" s="6">
        <v>1275000.0</v>
      </c>
      <c r="I4" s="7">
        <v>0.0</v>
      </c>
    </row>
    <row r="5">
      <c r="A5" s="2" t="s">
        <v>19</v>
      </c>
      <c r="B5" s="3" t="s">
        <v>20</v>
      </c>
      <c r="C5" s="3" t="s">
        <v>21</v>
      </c>
      <c r="D5" s="4" t="s">
        <v>12</v>
      </c>
      <c r="E5" s="5">
        <v>319.0</v>
      </c>
      <c r="F5" s="5">
        <v>120.0</v>
      </c>
      <c r="G5" s="5">
        <v>60.0</v>
      </c>
      <c r="H5" s="6">
        <v>1100000.0</v>
      </c>
      <c r="I5" s="7">
        <v>0.0</v>
      </c>
    </row>
    <row r="6">
      <c r="A6" s="2" t="s">
        <v>9</v>
      </c>
      <c r="B6" s="3" t="s">
        <v>22</v>
      </c>
      <c r="C6" s="3" t="s">
        <v>23</v>
      </c>
      <c r="D6" s="4" t="s">
        <v>24</v>
      </c>
      <c r="E6" s="5">
        <v>403.0</v>
      </c>
      <c r="F6" s="5">
        <v>130.0</v>
      </c>
      <c r="G6" s="5">
        <v>60.0</v>
      </c>
      <c r="H6" s="6">
        <v>1100000.0</v>
      </c>
      <c r="I6" s="7">
        <v>15000.0</v>
      </c>
    </row>
    <row r="7">
      <c r="A7" s="8" t="s">
        <v>9</v>
      </c>
      <c r="B7" s="3" t="s">
        <v>25</v>
      </c>
      <c r="C7" s="9" t="s">
        <v>26</v>
      </c>
      <c r="D7" s="10" t="s">
        <v>24</v>
      </c>
      <c r="E7" s="5">
        <v>405.0</v>
      </c>
      <c r="F7" s="11">
        <v>50.0</v>
      </c>
      <c r="G7" s="11">
        <v>5.0</v>
      </c>
      <c r="H7" s="12">
        <v>760000.0</v>
      </c>
      <c r="I7" s="13">
        <v>0.0</v>
      </c>
    </row>
    <row r="8">
      <c r="A8" s="2" t="s">
        <v>13</v>
      </c>
      <c r="B8" s="3" t="s">
        <v>27</v>
      </c>
      <c r="C8" s="3" t="s">
        <v>28</v>
      </c>
      <c r="D8" s="4" t="s">
        <v>24</v>
      </c>
      <c r="E8" s="5">
        <v>104.0</v>
      </c>
      <c r="F8" s="5">
        <v>96.0</v>
      </c>
      <c r="G8" s="5">
        <v>13.0</v>
      </c>
      <c r="H8" s="6">
        <v>1200000.0</v>
      </c>
      <c r="I8" s="7">
        <v>4000.0</v>
      </c>
    </row>
    <row r="9">
      <c r="A9" s="14" t="s">
        <v>13</v>
      </c>
      <c r="B9" s="3" t="s">
        <v>29</v>
      </c>
      <c r="C9" s="9" t="s">
        <v>30</v>
      </c>
      <c r="D9" s="10" t="s">
        <v>24</v>
      </c>
      <c r="E9" s="5">
        <v>106.0</v>
      </c>
      <c r="F9" s="11">
        <v>53.0</v>
      </c>
      <c r="G9" s="11">
        <v>5.0</v>
      </c>
      <c r="H9" s="12">
        <v>630000.0</v>
      </c>
      <c r="I9" s="13">
        <v>0.0</v>
      </c>
    </row>
    <row r="10">
      <c r="A10" s="2" t="s">
        <v>16</v>
      </c>
      <c r="B10" s="3" t="s">
        <v>31</v>
      </c>
      <c r="C10" s="3" t="s">
        <v>26</v>
      </c>
      <c r="D10" s="4" t="s">
        <v>24</v>
      </c>
      <c r="E10" s="5">
        <v>202.0</v>
      </c>
      <c r="F10" s="5">
        <v>140.0</v>
      </c>
      <c r="G10" s="5">
        <v>10.0</v>
      </c>
      <c r="H10" s="6">
        <v>1200000.0</v>
      </c>
      <c r="I10" s="7">
        <v>0.0</v>
      </c>
    </row>
    <row r="11">
      <c r="A11" s="15" t="s">
        <v>16</v>
      </c>
      <c r="B11" s="3" t="s">
        <v>32</v>
      </c>
      <c r="C11" s="16" t="s">
        <v>33</v>
      </c>
      <c r="D11" s="10" t="s">
        <v>24</v>
      </c>
      <c r="E11" s="5">
        <v>203.0</v>
      </c>
      <c r="F11" s="11">
        <v>91.0</v>
      </c>
      <c r="G11" s="11">
        <v>29.0</v>
      </c>
      <c r="H11" s="12">
        <v>1500000.0</v>
      </c>
      <c r="I11" s="13">
        <v>0.0</v>
      </c>
    </row>
    <row r="12">
      <c r="A12" s="17" t="s">
        <v>19</v>
      </c>
      <c r="B12" s="3" t="s">
        <v>36</v>
      </c>
      <c r="C12" s="9" t="s">
        <v>37</v>
      </c>
      <c r="D12" s="10" t="s">
        <v>24</v>
      </c>
      <c r="E12" s="5">
        <v>317.0</v>
      </c>
      <c r="F12" s="11">
        <v>42.0</v>
      </c>
      <c r="G12" s="11">
        <v>3.0</v>
      </c>
      <c r="H12" s="12">
        <v>600000.0</v>
      </c>
      <c r="I12" s="13">
        <v>0.0</v>
      </c>
    </row>
    <row r="13">
      <c r="A13" s="2" t="s">
        <v>19</v>
      </c>
      <c r="B13" s="3" t="s">
        <v>34</v>
      </c>
      <c r="C13" s="3" t="s">
        <v>35</v>
      </c>
      <c r="D13" s="4" t="s">
        <v>24</v>
      </c>
      <c r="E13" s="5">
        <v>318.0</v>
      </c>
      <c r="F13" s="5">
        <v>110.0</v>
      </c>
      <c r="G13" s="5">
        <v>45.0</v>
      </c>
      <c r="H13" s="6">
        <v>900000.0</v>
      </c>
      <c r="I13" s="7">
        <v>0.0</v>
      </c>
    </row>
    <row r="14">
      <c r="A14" s="2" t="s">
        <v>9</v>
      </c>
      <c r="B14" s="3" t="s">
        <v>38</v>
      </c>
      <c r="C14" s="3" t="s">
        <v>39</v>
      </c>
      <c r="D14" s="4" t="s">
        <v>40</v>
      </c>
      <c r="E14" s="5">
        <v>419.0</v>
      </c>
      <c r="F14" s="5">
        <v>190.0</v>
      </c>
      <c r="G14" s="5">
        <v>45.0</v>
      </c>
      <c r="H14" s="6">
        <v>2600000.0</v>
      </c>
      <c r="I14" s="7">
        <v>0.0</v>
      </c>
    </row>
    <row r="15">
      <c r="A15" s="2" t="s">
        <v>9</v>
      </c>
      <c r="B15" s="3" t="s">
        <v>41</v>
      </c>
      <c r="C15" s="3" t="s">
        <v>42</v>
      </c>
      <c r="D15" s="4" t="s">
        <v>40</v>
      </c>
      <c r="E15" s="5">
        <v>430.0</v>
      </c>
      <c r="F15" s="5">
        <v>255.0</v>
      </c>
      <c r="G15" s="5">
        <v>35.0</v>
      </c>
      <c r="H15" s="6">
        <v>2100000.0</v>
      </c>
      <c r="I15" s="7">
        <v>24670.0</v>
      </c>
    </row>
    <row r="16">
      <c r="A16" s="2" t="s">
        <v>13</v>
      </c>
      <c r="B16" s="3" t="s">
        <v>43</v>
      </c>
      <c r="C16" s="3" t="s">
        <v>44</v>
      </c>
      <c r="D16" s="4" t="s">
        <v>40</v>
      </c>
      <c r="E16" s="5">
        <v>120.0</v>
      </c>
      <c r="F16" s="5">
        <v>180.0</v>
      </c>
      <c r="G16" s="5">
        <v>23.0</v>
      </c>
      <c r="H16" s="6">
        <v>2000000.0</v>
      </c>
      <c r="I16" s="7">
        <v>0.0</v>
      </c>
    </row>
    <row r="17">
      <c r="A17" s="2" t="s">
        <v>13</v>
      </c>
      <c r="B17" s="3" t="s">
        <v>45</v>
      </c>
      <c r="C17" s="16" t="s">
        <v>46</v>
      </c>
      <c r="D17" s="4" t="s">
        <v>40</v>
      </c>
      <c r="E17" s="5">
        <v>135.0</v>
      </c>
      <c r="F17" s="5">
        <v>66.0</v>
      </c>
      <c r="G17" s="5">
        <v>6.0</v>
      </c>
      <c r="H17" s="6">
        <v>650000.0</v>
      </c>
      <c r="I17" s="7">
        <v>120180.0</v>
      </c>
    </row>
    <row r="18">
      <c r="A18" s="2" t="s">
        <v>16</v>
      </c>
      <c r="B18" s="3" t="s">
        <v>47</v>
      </c>
      <c r="C18" s="3" t="s">
        <v>48</v>
      </c>
      <c r="D18" s="4" t="s">
        <v>40</v>
      </c>
      <c r="E18" s="5">
        <v>210.0</v>
      </c>
      <c r="F18" s="5">
        <v>200.0</v>
      </c>
      <c r="G18" s="5">
        <v>34.0</v>
      </c>
      <c r="H18" s="6">
        <v>2500000.0</v>
      </c>
      <c r="I18" s="7">
        <v>0.0</v>
      </c>
    </row>
    <row r="19">
      <c r="A19" s="2" t="s">
        <v>16</v>
      </c>
      <c r="B19" s="3" t="s">
        <v>49</v>
      </c>
      <c r="C19" s="16" t="s">
        <v>50</v>
      </c>
      <c r="D19" s="4" t="s">
        <v>40</v>
      </c>
      <c r="E19" s="5">
        <v>220.0</v>
      </c>
      <c r="F19" s="5">
        <v>96.0</v>
      </c>
      <c r="G19" s="5">
        <v>18.0</v>
      </c>
      <c r="H19" s="6">
        <v>1500000.0</v>
      </c>
      <c r="I19" s="7">
        <v>18460.0</v>
      </c>
    </row>
    <row r="20">
      <c r="A20" s="2" t="s">
        <v>19</v>
      </c>
      <c r="B20" s="3" t="s">
        <v>51</v>
      </c>
      <c r="C20" s="3" t="s">
        <v>52</v>
      </c>
      <c r="D20" s="4" t="s">
        <v>40</v>
      </c>
      <c r="E20" s="5">
        <v>310.0</v>
      </c>
      <c r="F20" s="5">
        <v>170.0</v>
      </c>
      <c r="G20" s="5">
        <v>16.0</v>
      </c>
      <c r="H20" s="6">
        <v>2600000.0</v>
      </c>
      <c r="I20" s="7">
        <v>0.0</v>
      </c>
    </row>
    <row r="21">
      <c r="A21" s="2" t="s">
        <v>19</v>
      </c>
      <c r="B21" s="3" t="s">
        <v>53</v>
      </c>
      <c r="C21" s="16" t="s">
        <v>54</v>
      </c>
      <c r="D21" s="4" t="s">
        <v>40</v>
      </c>
      <c r="E21" s="5">
        <v>434.0</v>
      </c>
      <c r="F21" s="5">
        <v>46.0</v>
      </c>
      <c r="G21" s="5">
        <v>11.0</v>
      </c>
      <c r="H21" s="6">
        <v>1500000.0</v>
      </c>
      <c r="I21" s="7">
        <v>11900.0</v>
      </c>
    </row>
    <row r="22">
      <c r="A22" s="2" t="s">
        <v>16</v>
      </c>
      <c r="B22" s="3" t="s">
        <v>55</v>
      </c>
      <c r="C22" s="3" t="s">
        <v>56</v>
      </c>
      <c r="D22" s="4" t="s">
        <v>57</v>
      </c>
      <c r="E22" s="5">
        <v>204.0</v>
      </c>
      <c r="F22" s="5">
        <v>170.0</v>
      </c>
      <c r="G22" s="5">
        <v>80.0</v>
      </c>
      <c r="H22" s="6">
        <v>1400000.0</v>
      </c>
      <c r="I22" s="7">
        <v>0.0</v>
      </c>
    </row>
    <row r="23">
      <c r="A23" s="2" t="s">
        <v>16</v>
      </c>
      <c r="B23" s="3" t="s">
        <v>58</v>
      </c>
      <c r="C23" s="16" t="s">
        <v>59</v>
      </c>
      <c r="D23" s="4" t="s">
        <v>57</v>
      </c>
      <c r="E23" s="5">
        <v>205.0</v>
      </c>
      <c r="F23" s="5">
        <v>620.0</v>
      </c>
      <c r="G23" s="5">
        <v>45.0</v>
      </c>
      <c r="H23" s="6">
        <v>7500000.0</v>
      </c>
      <c r="I23" s="7">
        <v>0.0</v>
      </c>
    </row>
    <row r="24">
      <c r="A24" s="2" t="s">
        <v>19</v>
      </c>
      <c r="B24" s="3" t="s">
        <v>62</v>
      </c>
      <c r="C24" s="16" t="s">
        <v>59</v>
      </c>
      <c r="D24" s="4" t="s">
        <v>57</v>
      </c>
      <c r="E24" s="5">
        <v>315.0</v>
      </c>
      <c r="F24" s="5">
        <v>45.0</v>
      </c>
      <c r="G24" s="5">
        <v>14.0</v>
      </c>
      <c r="H24" s="6">
        <v>560000.0</v>
      </c>
      <c r="I24" s="7">
        <v>0.0</v>
      </c>
    </row>
    <row r="25">
      <c r="A25" s="2" t="s">
        <v>19</v>
      </c>
      <c r="B25" s="3" t="s">
        <v>60</v>
      </c>
      <c r="C25" s="3" t="s">
        <v>61</v>
      </c>
      <c r="D25" s="4" t="s">
        <v>57</v>
      </c>
      <c r="E25" s="5">
        <v>316.0</v>
      </c>
      <c r="F25" s="5">
        <v>92.0</v>
      </c>
      <c r="G25" s="5">
        <v>10.0</v>
      </c>
      <c r="H25" s="6">
        <v>319000.0</v>
      </c>
      <c r="I25" s="7">
        <v>0.0</v>
      </c>
    </row>
    <row r="26">
      <c r="A26" s="2" t="s">
        <v>9</v>
      </c>
      <c r="B26" s="3" t="s">
        <v>63</v>
      </c>
      <c r="C26" s="3" t="s">
        <v>64</v>
      </c>
      <c r="D26" s="4" t="s">
        <v>65</v>
      </c>
      <c r="E26" s="5">
        <v>431.0</v>
      </c>
      <c r="F26" s="5">
        <v>170.0</v>
      </c>
      <c r="G26" s="5">
        <v>29.0</v>
      </c>
      <c r="H26" s="6">
        <v>3700500.0</v>
      </c>
      <c r="I26" s="7">
        <v>0.0</v>
      </c>
    </row>
    <row r="27">
      <c r="A27" s="2" t="s">
        <v>9</v>
      </c>
      <c r="B27" s="3" t="s">
        <v>66</v>
      </c>
      <c r="C27" s="16" t="s">
        <v>67</v>
      </c>
      <c r="D27" s="4" t="s">
        <v>65</v>
      </c>
      <c r="E27" s="5">
        <v>433.0</v>
      </c>
      <c r="F27" s="18">
        <v>66.0</v>
      </c>
      <c r="G27" s="18">
        <v>1.0</v>
      </c>
      <c r="H27" s="19">
        <v>600000.0</v>
      </c>
      <c r="I27" s="20">
        <v>50000.0</v>
      </c>
    </row>
    <row r="28">
      <c r="A28" s="2" t="s">
        <v>9</v>
      </c>
      <c r="B28" s="3" t="s">
        <v>68</v>
      </c>
      <c r="C28" s="16" t="s">
        <v>69</v>
      </c>
      <c r="D28" s="4" t="s">
        <v>65</v>
      </c>
      <c r="E28" s="5">
        <v>435.0</v>
      </c>
      <c r="F28" s="18">
        <v>80.0</v>
      </c>
      <c r="G28" s="18">
        <v>3.0</v>
      </c>
      <c r="H28" s="19">
        <v>353000.0</v>
      </c>
      <c r="I28" s="20">
        <v>0.0</v>
      </c>
    </row>
    <row r="29">
      <c r="A29" s="2" t="s">
        <v>9</v>
      </c>
      <c r="B29" s="3" t="s">
        <v>70</v>
      </c>
      <c r="C29" s="16" t="s">
        <v>71</v>
      </c>
      <c r="D29" s="4" t="s">
        <v>65</v>
      </c>
      <c r="E29" s="5">
        <v>437.0</v>
      </c>
      <c r="F29" s="18">
        <v>45.0</v>
      </c>
      <c r="G29" s="18">
        <v>2.0</v>
      </c>
      <c r="H29" s="19">
        <v>100000.0</v>
      </c>
      <c r="I29" s="20">
        <v>45000.0</v>
      </c>
    </row>
    <row r="30">
      <c r="A30" s="2" t="s">
        <v>13</v>
      </c>
      <c r="B30" s="3" t="s">
        <v>72</v>
      </c>
      <c r="C30" s="3" t="s">
        <v>67</v>
      </c>
      <c r="D30" s="4" t="s">
        <v>65</v>
      </c>
      <c r="E30" s="5">
        <v>132.0</v>
      </c>
      <c r="F30" s="5">
        <v>160.0</v>
      </c>
      <c r="G30" s="5">
        <v>15.0</v>
      </c>
      <c r="H30" s="6">
        <v>2300000.0</v>
      </c>
      <c r="I30" s="7">
        <v>0.0</v>
      </c>
    </row>
    <row r="31">
      <c r="A31" s="2" t="s">
        <v>13</v>
      </c>
      <c r="B31" s="3" t="s">
        <v>73</v>
      </c>
      <c r="C31" s="16" t="s">
        <v>74</v>
      </c>
      <c r="D31" s="4" t="s">
        <v>65</v>
      </c>
      <c r="E31" s="5">
        <v>134.0</v>
      </c>
      <c r="F31" s="18">
        <v>15.0</v>
      </c>
      <c r="G31" s="18">
        <v>5.0</v>
      </c>
      <c r="H31" s="19">
        <v>90000.0</v>
      </c>
      <c r="I31" s="20">
        <v>0.0</v>
      </c>
    </row>
    <row r="32">
      <c r="A32" s="2" t="s">
        <v>13</v>
      </c>
      <c r="B32" s="3" t="s">
        <v>75</v>
      </c>
      <c r="C32" s="16" t="s">
        <v>67</v>
      </c>
      <c r="D32" s="4" t="s">
        <v>65</v>
      </c>
      <c r="E32" s="5">
        <v>136.0</v>
      </c>
      <c r="F32" s="18">
        <v>80.0</v>
      </c>
      <c r="G32" s="18">
        <v>9.0</v>
      </c>
      <c r="H32" s="19">
        <v>1200000.0</v>
      </c>
      <c r="I32" s="20">
        <v>0.0</v>
      </c>
    </row>
    <row r="33">
      <c r="A33" s="2" t="s">
        <v>13</v>
      </c>
      <c r="B33" s="3" t="s">
        <v>76</v>
      </c>
      <c r="C33" s="3" t="s">
        <v>77</v>
      </c>
      <c r="D33" s="4" t="s">
        <v>65</v>
      </c>
      <c r="E33" s="5">
        <v>138.0</v>
      </c>
      <c r="F33" s="18">
        <v>65.0</v>
      </c>
      <c r="G33" s="18">
        <v>3.0</v>
      </c>
      <c r="H33" s="19">
        <v>3000000.0</v>
      </c>
      <c r="I33" s="20">
        <v>0.0</v>
      </c>
    </row>
    <row r="34">
      <c r="A34" s="2" t="s">
        <v>16</v>
      </c>
      <c r="B34" s="3" t="s">
        <v>78</v>
      </c>
      <c r="C34" s="3" t="s">
        <v>79</v>
      </c>
      <c r="D34" s="4" t="s">
        <v>65</v>
      </c>
      <c r="E34" s="5">
        <v>216.0</v>
      </c>
      <c r="F34" s="5">
        <v>180.0</v>
      </c>
      <c r="G34" s="5">
        <v>31.0</v>
      </c>
      <c r="H34" s="6">
        <v>3500000.0</v>
      </c>
      <c r="I34" s="7">
        <v>0.0</v>
      </c>
    </row>
    <row r="35">
      <c r="A35" s="2" t="s">
        <v>16</v>
      </c>
      <c r="B35" s="3" t="s">
        <v>80</v>
      </c>
      <c r="C35" s="3" t="s">
        <v>81</v>
      </c>
      <c r="D35" s="4" t="s">
        <v>65</v>
      </c>
      <c r="E35" s="5">
        <v>217.0</v>
      </c>
      <c r="F35" s="18">
        <v>90.0</v>
      </c>
      <c r="G35" s="18">
        <v>5.0</v>
      </c>
      <c r="H35" s="19">
        <v>2400000.0</v>
      </c>
      <c r="I35" s="20">
        <v>0.0</v>
      </c>
    </row>
    <row r="36">
      <c r="A36" s="2" t="s">
        <v>16</v>
      </c>
      <c r="B36" s="3" t="s">
        <v>82</v>
      </c>
      <c r="C36" s="3" t="s">
        <v>77</v>
      </c>
      <c r="D36" s="4" t="s">
        <v>65</v>
      </c>
      <c r="E36" s="5">
        <v>218.0</v>
      </c>
      <c r="F36" s="18">
        <v>90.0</v>
      </c>
      <c r="G36" s="18">
        <v>6.0</v>
      </c>
      <c r="H36" s="19">
        <v>650000.0</v>
      </c>
      <c r="I36" s="20">
        <v>100000.0</v>
      </c>
    </row>
    <row r="37">
      <c r="A37" s="2" t="s">
        <v>16</v>
      </c>
      <c r="B37" s="3" t="s">
        <v>83</v>
      </c>
      <c r="C37" s="3" t="s">
        <v>84</v>
      </c>
      <c r="D37" s="4" t="s">
        <v>65</v>
      </c>
      <c r="E37" s="5">
        <v>219.0</v>
      </c>
      <c r="F37" s="18">
        <v>90.0</v>
      </c>
      <c r="G37" s="18">
        <v>4.0</v>
      </c>
      <c r="H37" s="19">
        <v>1750000.0</v>
      </c>
      <c r="I37" s="20">
        <v>50000.0</v>
      </c>
    </row>
    <row r="38">
      <c r="A38" s="2" t="s">
        <v>19</v>
      </c>
      <c r="B38" s="3" t="s">
        <v>90</v>
      </c>
      <c r="C38" s="3" t="s">
        <v>81</v>
      </c>
      <c r="D38" s="4" t="s">
        <v>65</v>
      </c>
      <c r="E38" s="5">
        <v>301.0</v>
      </c>
      <c r="F38" s="18">
        <v>60.0</v>
      </c>
      <c r="G38" s="18">
        <v>8.0</v>
      </c>
      <c r="H38" s="19">
        <v>900000.0</v>
      </c>
      <c r="I38" s="20">
        <v>0.0</v>
      </c>
    </row>
    <row r="39">
      <c r="A39" s="2" t="s">
        <v>19</v>
      </c>
      <c r="B39" s="3" t="s">
        <v>88</v>
      </c>
      <c r="C39" s="16" t="s">
        <v>89</v>
      </c>
      <c r="D39" s="4" t="s">
        <v>65</v>
      </c>
      <c r="E39" s="5">
        <v>302.0</v>
      </c>
      <c r="F39" s="18">
        <v>90.0</v>
      </c>
      <c r="G39" s="18">
        <v>19.0</v>
      </c>
      <c r="H39" s="19">
        <v>3500000.0</v>
      </c>
      <c r="I39" s="20">
        <v>0.0</v>
      </c>
    </row>
    <row r="40">
      <c r="A40" s="2" t="s">
        <v>19</v>
      </c>
      <c r="B40" s="3" t="s">
        <v>87</v>
      </c>
      <c r="C40" s="16" t="s">
        <v>69</v>
      </c>
      <c r="D40" s="4" t="s">
        <v>65</v>
      </c>
      <c r="E40" s="5">
        <v>303.0</v>
      </c>
      <c r="F40" s="18">
        <v>40.0</v>
      </c>
      <c r="G40" s="18">
        <v>2.0</v>
      </c>
      <c r="H40" s="19">
        <v>2100000.0</v>
      </c>
      <c r="I40" s="20">
        <v>300000.0</v>
      </c>
    </row>
    <row r="41">
      <c r="A41" s="2" t="s">
        <v>19</v>
      </c>
      <c r="B41" s="3" t="s">
        <v>85</v>
      </c>
      <c r="C41" s="3" t="s">
        <v>86</v>
      </c>
      <c r="D41" s="4" t="s">
        <v>65</v>
      </c>
      <c r="E41" s="5">
        <v>304.0</v>
      </c>
      <c r="F41" s="5">
        <v>150.0</v>
      </c>
      <c r="G41" s="5">
        <v>20.0</v>
      </c>
      <c r="H41" s="6">
        <v>1900000.0</v>
      </c>
      <c r="I41" s="7">
        <v>90000.0</v>
      </c>
    </row>
    <row r="42">
      <c r="A42" s="2" t="s">
        <v>9</v>
      </c>
      <c r="B42" s="3" t="s">
        <v>91</v>
      </c>
      <c r="C42" s="3" t="s">
        <v>92</v>
      </c>
      <c r="D42" s="4" t="s">
        <v>93</v>
      </c>
      <c r="E42" s="5">
        <v>411.0</v>
      </c>
      <c r="F42" s="5">
        <v>210.0</v>
      </c>
      <c r="G42" s="5">
        <v>100.0</v>
      </c>
      <c r="H42" s="6">
        <v>3000000.0</v>
      </c>
      <c r="I42" s="7">
        <v>0.0</v>
      </c>
    </row>
    <row r="43">
      <c r="A43" s="2" t="s">
        <v>9</v>
      </c>
      <c r="B43" s="3" t="s">
        <v>94</v>
      </c>
      <c r="C43" s="16" t="s">
        <v>95</v>
      </c>
      <c r="D43" s="4" t="s">
        <v>93</v>
      </c>
      <c r="E43" s="5">
        <v>413.0</v>
      </c>
      <c r="F43" s="5">
        <v>70.0</v>
      </c>
      <c r="G43" s="5">
        <v>14.0</v>
      </c>
      <c r="H43" s="6">
        <v>750000.0</v>
      </c>
      <c r="I43" s="7">
        <v>0.0</v>
      </c>
    </row>
    <row r="44">
      <c r="A44" s="2" t="s">
        <v>9</v>
      </c>
      <c r="B44" s="3" t="s">
        <v>96</v>
      </c>
      <c r="C44" s="16" t="s">
        <v>97</v>
      </c>
      <c r="D44" s="4" t="s">
        <v>93</v>
      </c>
      <c r="E44" s="5">
        <v>415.0</v>
      </c>
      <c r="F44" s="5">
        <v>70.0</v>
      </c>
      <c r="G44" s="5">
        <v>6.0</v>
      </c>
      <c r="H44" s="6">
        <v>4500000.0</v>
      </c>
      <c r="I44" s="7">
        <v>0.0</v>
      </c>
    </row>
    <row r="45">
      <c r="A45" s="2" t="s">
        <v>9</v>
      </c>
      <c r="B45" s="3" t="s">
        <v>98</v>
      </c>
      <c r="C45" s="16" t="s">
        <v>99</v>
      </c>
      <c r="D45" s="4" t="s">
        <v>93</v>
      </c>
      <c r="E45" s="5">
        <v>417.0</v>
      </c>
      <c r="F45" s="5">
        <v>70.0</v>
      </c>
      <c r="G45" s="5">
        <v>7.0</v>
      </c>
      <c r="H45" s="6">
        <v>600000.0</v>
      </c>
      <c r="I45" s="7">
        <v>10000.0</v>
      </c>
    </row>
    <row r="46">
      <c r="A46" s="2" t="s">
        <v>13</v>
      </c>
      <c r="B46" s="3" t="s">
        <v>100</v>
      </c>
      <c r="C46" s="3" t="s">
        <v>101</v>
      </c>
      <c r="D46" s="4" t="s">
        <v>93</v>
      </c>
      <c r="E46" s="5">
        <v>112.0</v>
      </c>
      <c r="F46" s="5">
        <v>200.0</v>
      </c>
      <c r="G46" s="5">
        <v>95.0</v>
      </c>
      <c r="H46" s="6">
        <v>3300000.0</v>
      </c>
      <c r="I46" s="7">
        <v>23000.0</v>
      </c>
    </row>
    <row r="47">
      <c r="A47" s="2" t="s">
        <v>13</v>
      </c>
      <c r="B47" s="3" t="s">
        <v>102</v>
      </c>
      <c r="C47" s="16" t="s">
        <v>99</v>
      </c>
      <c r="D47" s="4" t="s">
        <v>93</v>
      </c>
      <c r="E47" s="5">
        <v>114.0</v>
      </c>
      <c r="F47" s="5">
        <v>50.0</v>
      </c>
      <c r="G47" s="5">
        <v>9.0</v>
      </c>
      <c r="H47" s="6">
        <v>710000.0</v>
      </c>
      <c r="I47" s="7">
        <v>0.0</v>
      </c>
    </row>
    <row r="48">
      <c r="A48" s="2" t="s">
        <v>13</v>
      </c>
      <c r="B48" s="3" t="s">
        <v>103</v>
      </c>
      <c r="C48" s="16" t="s">
        <v>104</v>
      </c>
      <c r="D48" s="4" t="s">
        <v>93</v>
      </c>
      <c r="E48" s="5">
        <v>116.0</v>
      </c>
      <c r="F48" s="5">
        <v>150.0</v>
      </c>
      <c r="G48" s="5">
        <v>2.0</v>
      </c>
      <c r="H48" s="6">
        <v>1300000.0</v>
      </c>
      <c r="I48" s="7">
        <v>0.0</v>
      </c>
    </row>
    <row r="49">
      <c r="A49" s="2" t="s">
        <v>13</v>
      </c>
      <c r="B49" s="3" t="s">
        <v>105</v>
      </c>
      <c r="C49" s="16" t="s">
        <v>106</v>
      </c>
      <c r="D49" s="4" t="s">
        <v>93</v>
      </c>
      <c r="E49" s="5">
        <v>118.0</v>
      </c>
      <c r="F49" s="5">
        <v>100.0</v>
      </c>
      <c r="G49" s="5">
        <v>30.0</v>
      </c>
      <c r="H49" s="6">
        <v>1850000.0</v>
      </c>
      <c r="I49" s="7">
        <v>0.0</v>
      </c>
    </row>
    <row r="50">
      <c r="A50" s="2" t="s">
        <v>16</v>
      </c>
      <c r="B50" s="3" t="s">
        <v>107</v>
      </c>
      <c r="C50" s="3" t="s">
        <v>108</v>
      </c>
      <c r="D50" s="4" t="s">
        <v>93</v>
      </c>
      <c r="E50" s="5">
        <v>206.0</v>
      </c>
      <c r="F50" s="5">
        <v>220.0</v>
      </c>
      <c r="G50" s="5">
        <v>110.0</v>
      </c>
      <c r="H50" s="6">
        <v>3800000.0</v>
      </c>
      <c r="I50" s="7">
        <v>0.0</v>
      </c>
    </row>
    <row r="51">
      <c r="A51" s="2" t="s">
        <v>16</v>
      </c>
      <c r="B51" s="3" t="s">
        <v>109</v>
      </c>
      <c r="C51" s="16" t="s">
        <v>97</v>
      </c>
      <c r="D51" s="4" t="s">
        <v>93</v>
      </c>
      <c r="E51" s="5">
        <v>207.0</v>
      </c>
      <c r="F51" s="5">
        <v>250.0</v>
      </c>
      <c r="G51" s="5">
        <v>5.0</v>
      </c>
      <c r="H51" s="6">
        <v>4000000.0</v>
      </c>
      <c r="I51" s="7">
        <v>16000.0</v>
      </c>
    </row>
    <row r="52">
      <c r="A52" s="2" t="s">
        <v>16</v>
      </c>
      <c r="B52" s="3" t="s">
        <v>110</v>
      </c>
      <c r="C52" s="3" t="s">
        <v>111</v>
      </c>
      <c r="D52" s="4" t="s">
        <v>93</v>
      </c>
      <c r="E52" s="5">
        <v>208.0</v>
      </c>
      <c r="F52" s="5">
        <v>45.0</v>
      </c>
      <c r="G52" s="5">
        <v>15.0</v>
      </c>
      <c r="H52" s="6">
        <v>1200000.0</v>
      </c>
      <c r="I52" s="7">
        <v>0.0</v>
      </c>
    </row>
    <row r="53">
      <c r="A53" s="2" t="s">
        <v>16</v>
      </c>
      <c r="B53" s="3" t="s">
        <v>112</v>
      </c>
      <c r="C53" s="16" t="s">
        <v>113</v>
      </c>
      <c r="D53" s="4" t="s">
        <v>93</v>
      </c>
      <c r="E53" s="5">
        <v>209.0</v>
      </c>
      <c r="F53" s="5">
        <v>110.0</v>
      </c>
      <c r="G53" s="5">
        <v>14.0</v>
      </c>
      <c r="H53" s="6">
        <v>760000.0</v>
      </c>
      <c r="I53" s="7">
        <v>24000.0</v>
      </c>
    </row>
    <row r="54">
      <c r="A54" s="2" t="s">
        <v>19</v>
      </c>
      <c r="B54" s="3" t="s">
        <v>118</v>
      </c>
      <c r="C54" s="16" t="s">
        <v>95</v>
      </c>
      <c r="D54" s="4" t="s">
        <v>93</v>
      </c>
      <c r="E54" s="5">
        <v>311.0</v>
      </c>
      <c r="F54" s="5">
        <v>65.0</v>
      </c>
      <c r="G54" s="5">
        <v>8.0</v>
      </c>
      <c r="H54" s="6">
        <v>500000.0</v>
      </c>
      <c r="I54" s="7">
        <v>0.0</v>
      </c>
    </row>
    <row r="55">
      <c r="A55" s="2" t="s">
        <v>19</v>
      </c>
      <c r="B55" s="3" t="s">
        <v>117</v>
      </c>
      <c r="C55" s="16" t="s">
        <v>106</v>
      </c>
      <c r="D55" s="4" t="s">
        <v>93</v>
      </c>
      <c r="E55" s="5">
        <v>312.0</v>
      </c>
      <c r="F55" s="5">
        <v>90.0</v>
      </c>
      <c r="G55" s="5">
        <v>36.0</v>
      </c>
      <c r="H55" s="6">
        <v>2600000.0</v>
      </c>
      <c r="I55" s="7">
        <v>0.0</v>
      </c>
    </row>
    <row r="56">
      <c r="A56" s="2" t="s">
        <v>19</v>
      </c>
      <c r="B56" s="3" t="s">
        <v>116</v>
      </c>
      <c r="C56" s="16" t="s">
        <v>104</v>
      </c>
      <c r="D56" s="4" t="s">
        <v>93</v>
      </c>
      <c r="E56" s="5">
        <v>313.0</v>
      </c>
      <c r="F56" s="5">
        <v>120.0</v>
      </c>
      <c r="G56" s="5">
        <v>15.0</v>
      </c>
      <c r="H56" s="6">
        <v>1500000.0</v>
      </c>
      <c r="I56" s="7">
        <v>0.0</v>
      </c>
    </row>
    <row r="57">
      <c r="A57" s="2" t="s">
        <v>19</v>
      </c>
      <c r="B57" s="3" t="s">
        <v>114</v>
      </c>
      <c r="C57" s="3" t="s">
        <v>115</v>
      </c>
      <c r="D57" s="4" t="s">
        <v>93</v>
      </c>
      <c r="E57" s="5">
        <v>314.0</v>
      </c>
      <c r="F57" s="5">
        <v>190.0</v>
      </c>
      <c r="G57" s="5">
        <v>85.0</v>
      </c>
      <c r="H57" s="6">
        <v>3040000.0</v>
      </c>
      <c r="I57" s="7">
        <v>0.0</v>
      </c>
    </row>
    <row r="58">
      <c r="A58" s="2" t="s">
        <v>9</v>
      </c>
      <c r="B58" s="3" t="s">
        <v>119</v>
      </c>
      <c r="C58" s="3" t="s">
        <v>120</v>
      </c>
      <c r="D58" s="4" t="s">
        <v>121</v>
      </c>
      <c r="E58" s="5">
        <v>425.0</v>
      </c>
      <c r="F58" s="5">
        <v>180.0</v>
      </c>
      <c r="G58" s="5">
        <v>5.0</v>
      </c>
      <c r="H58" s="6">
        <v>1920000.0</v>
      </c>
      <c r="I58" s="7">
        <v>0.0</v>
      </c>
    </row>
    <row r="59">
      <c r="A59" s="2" t="s">
        <v>13</v>
      </c>
      <c r="B59" s="3" t="s">
        <v>122</v>
      </c>
      <c r="C59" s="3" t="s">
        <v>123</v>
      </c>
      <c r="D59" s="4" t="s">
        <v>121</v>
      </c>
      <c r="E59" s="5">
        <v>126.0</v>
      </c>
      <c r="F59" s="5">
        <v>100.0</v>
      </c>
      <c r="G59" s="5">
        <v>70.0</v>
      </c>
      <c r="H59" s="6">
        <v>1785000.0</v>
      </c>
      <c r="I59" s="7">
        <v>0.0</v>
      </c>
    </row>
    <row r="60">
      <c r="A60" s="2" t="s">
        <v>16</v>
      </c>
      <c r="B60" s="3" t="s">
        <v>124</v>
      </c>
      <c r="C60" s="3" t="s">
        <v>125</v>
      </c>
      <c r="D60" s="4" t="s">
        <v>121</v>
      </c>
      <c r="E60" s="5">
        <v>213.0</v>
      </c>
      <c r="F60" s="5">
        <v>80.0</v>
      </c>
      <c r="G60" s="5">
        <v>25.0</v>
      </c>
      <c r="H60" s="6">
        <v>2090000.0</v>
      </c>
      <c r="I60" s="7">
        <v>50000.0</v>
      </c>
    </row>
    <row r="61">
      <c r="A61" s="2" t="s">
        <v>19</v>
      </c>
      <c r="B61" s="3" t="s">
        <v>126</v>
      </c>
      <c r="C61" s="3" t="s">
        <v>127</v>
      </c>
      <c r="D61" s="4" t="s">
        <v>121</v>
      </c>
      <c r="E61" s="5">
        <v>307.0</v>
      </c>
      <c r="F61" s="5">
        <v>45.0</v>
      </c>
      <c r="G61" s="5">
        <v>65.0</v>
      </c>
      <c r="H61" s="6">
        <v>1680000.0</v>
      </c>
      <c r="I61" s="7">
        <v>70000.0</v>
      </c>
    </row>
    <row r="62">
      <c r="A62" s="2" t="s">
        <v>9</v>
      </c>
      <c r="B62" s="3" t="s">
        <v>128</v>
      </c>
      <c r="C62" s="3" t="s">
        <v>129</v>
      </c>
      <c r="D62" s="4" t="s">
        <v>130</v>
      </c>
      <c r="E62" s="5">
        <v>423.0</v>
      </c>
      <c r="F62" s="5">
        <v>100.0</v>
      </c>
      <c r="G62" s="5">
        <v>45.0</v>
      </c>
      <c r="H62" s="6">
        <v>550000.0</v>
      </c>
      <c r="I62" s="7">
        <v>5000.0</v>
      </c>
    </row>
    <row r="63">
      <c r="A63" s="2" t="s">
        <v>13</v>
      </c>
      <c r="B63" s="3" t="s">
        <v>131</v>
      </c>
      <c r="C63" s="3" t="s">
        <v>132</v>
      </c>
      <c r="D63" s="4" t="s">
        <v>130</v>
      </c>
      <c r="E63" s="5">
        <v>124.0</v>
      </c>
      <c r="F63" s="5">
        <v>90.0</v>
      </c>
      <c r="G63" s="5">
        <v>40.0</v>
      </c>
      <c r="H63" s="6">
        <v>450000.0</v>
      </c>
      <c r="I63" s="7">
        <v>60000.0</v>
      </c>
    </row>
    <row r="64">
      <c r="A64" s="2" t="s">
        <v>16</v>
      </c>
      <c r="B64" s="3" t="s">
        <v>133</v>
      </c>
      <c r="C64" s="3" t="s">
        <v>134</v>
      </c>
      <c r="D64" s="4" t="s">
        <v>130</v>
      </c>
      <c r="E64" s="5">
        <v>212.0</v>
      </c>
      <c r="F64" s="5">
        <v>110.0</v>
      </c>
      <c r="G64" s="5">
        <v>50.0</v>
      </c>
      <c r="H64" s="6">
        <v>600000.0</v>
      </c>
      <c r="I64" s="7">
        <v>0.0</v>
      </c>
    </row>
    <row r="65">
      <c r="A65" s="2" t="s">
        <v>19</v>
      </c>
      <c r="B65" s="3" t="s">
        <v>135</v>
      </c>
      <c r="C65" s="3" t="s">
        <v>136</v>
      </c>
      <c r="D65" s="4" t="s">
        <v>130</v>
      </c>
      <c r="E65" s="5">
        <v>308.0</v>
      </c>
      <c r="F65" s="5">
        <v>80.0</v>
      </c>
      <c r="G65" s="5">
        <v>35.0</v>
      </c>
      <c r="H65" s="6">
        <v>400000.0</v>
      </c>
      <c r="I65" s="7">
        <v>0.0</v>
      </c>
    </row>
    <row r="66">
      <c r="A66" s="2" t="s">
        <v>19</v>
      </c>
      <c r="B66" s="3"/>
      <c r="C66" s="3"/>
      <c r="D66" s="4" t="s">
        <v>137</v>
      </c>
      <c r="E66" s="5">
        <v>320.0</v>
      </c>
      <c r="F66" s="18">
        <v>360.0</v>
      </c>
      <c r="G66" s="18"/>
      <c r="H66" s="19"/>
      <c r="I66" s="20"/>
    </row>
    <row r="67">
      <c r="A67" s="2" t="s">
        <v>19</v>
      </c>
      <c r="B67" s="3"/>
      <c r="C67" s="3"/>
      <c r="D67" s="4" t="s">
        <v>137</v>
      </c>
      <c r="E67" s="5">
        <v>322.0</v>
      </c>
      <c r="F67" s="18">
        <v>75.0</v>
      </c>
      <c r="G67" s="18"/>
      <c r="H67" s="19"/>
      <c r="I67" s="20"/>
    </row>
    <row r="68">
      <c r="A68" s="2" t="s">
        <v>9</v>
      </c>
      <c r="B68" s="3" t="s">
        <v>138</v>
      </c>
      <c r="C68" s="3" t="s">
        <v>139</v>
      </c>
      <c r="D68" s="4" t="s">
        <v>140</v>
      </c>
      <c r="E68" s="5">
        <v>427.0</v>
      </c>
      <c r="F68" s="5">
        <v>150.0</v>
      </c>
      <c r="G68" s="5">
        <v>80.0</v>
      </c>
      <c r="H68" s="6">
        <v>1250000.0</v>
      </c>
      <c r="I68" s="7">
        <v>10000.0</v>
      </c>
    </row>
    <row r="69">
      <c r="A69" s="2" t="s">
        <v>13</v>
      </c>
      <c r="B69" s="3" t="s">
        <v>141</v>
      </c>
      <c r="C69" s="3" t="s">
        <v>142</v>
      </c>
      <c r="D69" s="4" t="s">
        <v>140</v>
      </c>
      <c r="E69" s="5">
        <v>128.0</v>
      </c>
      <c r="F69" s="5">
        <v>140.0</v>
      </c>
      <c r="G69" s="5">
        <v>70.0</v>
      </c>
      <c r="H69" s="6">
        <v>1200000.0</v>
      </c>
      <c r="I69" s="7">
        <v>0.0</v>
      </c>
    </row>
    <row r="70">
      <c r="A70" s="2" t="s">
        <v>16</v>
      </c>
      <c r="B70" s="3" t="s">
        <v>143</v>
      </c>
      <c r="C70" s="3" t="s">
        <v>144</v>
      </c>
      <c r="D70" s="4" t="s">
        <v>140</v>
      </c>
      <c r="E70" s="5">
        <v>214.0</v>
      </c>
      <c r="F70" s="5">
        <v>160.0</v>
      </c>
      <c r="G70" s="5">
        <v>75.0</v>
      </c>
      <c r="H70" s="6">
        <v>1300000.0</v>
      </c>
      <c r="I70" s="7">
        <v>0.0</v>
      </c>
    </row>
    <row r="71">
      <c r="A71" s="2" t="s">
        <v>19</v>
      </c>
      <c r="B71" s="3" t="s">
        <v>145</v>
      </c>
      <c r="C71" s="3" t="s">
        <v>146</v>
      </c>
      <c r="D71" s="4" t="s">
        <v>140</v>
      </c>
      <c r="E71" s="5">
        <v>306.0</v>
      </c>
      <c r="F71" s="5">
        <v>130.0</v>
      </c>
      <c r="G71" s="5">
        <v>65.0</v>
      </c>
      <c r="H71" s="6">
        <v>900000.0</v>
      </c>
      <c r="I71" s="7">
        <v>40000.0</v>
      </c>
    </row>
    <row r="72">
      <c r="A72" s="2" t="s">
        <v>19</v>
      </c>
      <c r="B72" s="3" t="s">
        <v>180</v>
      </c>
      <c r="C72" s="3" t="s">
        <v>179</v>
      </c>
      <c r="D72" s="4" t="s">
        <v>140</v>
      </c>
      <c r="E72" s="5">
        <v>321.0</v>
      </c>
      <c r="F72" s="18">
        <v>50.0</v>
      </c>
      <c r="G72" s="18">
        <v>29.0</v>
      </c>
      <c r="H72" s="19">
        <v>75000.0</v>
      </c>
      <c r="I72" s="20"/>
    </row>
    <row r="73">
      <c r="A73" s="2" t="s">
        <v>9</v>
      </c>
      <c r="B73" s="3" t="s">
        <v>147</v>
      </c>
      <c r="C73" s="3" t="s">
        <v>148</v>
      </c>
      <c r="D73" s="4" t="s">
        <v>149</v>
      </c>
      <c r="E73" s="5">
        <v>429.0</v>
      </c>
      <c r="F73" s="5">
        <v>120.0</v>
      </c>
      <c r="G73" s="5">
        <v>63.0</v>
      </c>
      <c r="H73" s="6">
        <v>1.56E7</v>
      </c>
      <c r="I73" s="7">
        <v>0.0</v>
      </c>
    </row>
    <row r="74">
      <c r="A74" s="2" t="s">
        <v>13</v>
      </c>
      <c r="B74" s="3" t="s">
        <v>150</v>
      </c>
      <c r="C74" s="3" t="s">
        <v>151</v>
      </c>
      <c r="D74" s="4" t="s">
        <v>149</v>
      </c>
      <c r="E74" s="5">
        <v>130.0</v>
      </c>
      <c r="F74" s="5">
        <v>110.0</v>
      </c>
      <c r="G74" s="5">
        <v>62.0</v>
      </c>
      <c r="H74" s="6">
        <v>1320000.0</v>
      </c>
      <c r="I74" s="7">
        <v>0.0</v>
      </c>
    </row>
    <row r="75">
      <c r="A75" s="2" t="s">
        <v>16</v>
      </c>
      <c r="B75" s="3" t="s">
        <v>152</v>
      </c>
      <c r="C75" s="3" t="s">
        <v>153</v>
      </c>
      <c r="D75" s="4" t="s">
        <v>149</v>
      </c>
      <c r="E75" s="5">
        <v>215.0</v>
      </c>
      <c r="F75" s="5">
        <v>130.0</v>
      </c>
      <c r="G75" s="5">
        <v>75.0</v>
      </c>
      <c r="H75" s="6">
        <v>1820000.0</v>
      </c>
      <c r="I75" s="7">
        <v>0.0</v>
      </c>
    </row>
    <row r="76">
      <c r="A76" s="2" t="s">
        <v>19</v>
      </c>
      <c r="B76" s="3" t="s">
        <v>154</v>
      </c>
      <c r="C76" s="3" t="s">
        <v>155</v>
      </c>
      <c r="D76" s="4" t="s">
        <v>149</v>
      </c>
      <c r="E76" s="5">
        <v>305.0</v>
      </c>
      <c r="F76" s="5">
        <v>100.0</v>
      </c>
      <c r="G76" s="5">
        <v>50.0</v>
      </c>
      <c r="H76" s="6">
        <v>1210000.0</v>
      </c>
      <c r="I76" s="7">
        <v>0.0</v>
      </c>
    </row>
    <row r="77">
      <c r="A77" s="2" t="s">
        <v>9</v>
      </c>
      <c r="B77" s="3" t="s">
        <v>156</v>
      </c>
      <c r="C77" s="3" t="s">
        <v>157</v>
      </c>
      <c r="D77" s="4" t="s">
        <v>158</v>
      </c>
      <c r="E77" s="5">
        <v>421.0</v>
      </c>
      <c r="F77" s="5">
        <v>80.0</v>
      </c>
      <c r="G77" s="5">
        <v>9.0</v>
      </c>
      <c r="H77" s="6">
        <v>100000.0</v>
      </c>
      <c r="I77" s="7">
        <v>0.0</v>
      </c>
    </row>
    <row r="78">
      <c r="A78" s="2" t="s">
        <v>13</v>
      </c>
      <c r="B78" s="3" t="s">
        <v>159</v>
      </c>
      <c r="C78" s="3" t="s">
        <v>160</v>
      </c>
      <c r="D78" s="4" t="s">
        <v>158</v>
      </c>
      <c r="E78" s="5">
        <v>122.0</v>
      </c>
      <c r="F78" s="5">
        <v>70.0</v>
      </c>
      <c r="G78" s="5">
        <v>14.0</v>
      </c>
      <c r="H78" s="6">
        <v>120000.0</v>
      </c>
      <c r="I78" s="7">
        <v>0.0</v>
      </c>
    </row>
    <row r="79">
      <c r="A79" s="2" t="s">
        <v>16</v>
      </c>
      <c r="B79" s="3" t="s">
        <v>161</v>
      </c>
      <c r="C79" s="3" t="s">
        <v>162</v>
      </c>
      <c r="D79" s="4" t="s">
        <v>158</v>
      </c>
      <c r="E79" s="5">
        <v>211.0</v>
      </c>
      <c r="F79" s="5">
        <v>90.0</v>
      </c>
      <c r="G79" s="5">
        <v>23.0</v>
      </c>
      <c r="H79" s="6">
        <v>210000.0</v>
      </c>
      <c r="I79" s="7">
        <v>25000.0</v>
      </c>
    </row>
    <row r="80">
      <c r="A80" s="21" t="s">
        <v>19</v>
      </c>
      <c r="B80" s="22" t="s">
        <v>163</v>
      </c>
      <c r="C80" s="22" t="s">
        <v>164</v>
      </c>
      <c r="D80" s="23" t="s">
        <v>158</v>
      </c>
      <c r="E80" s="24">
        <v>309.0</v>
      </c>
      <c r="F80" s="25">
        <v>60.0</v>
      </c>
      <c r="G80" s="25">
        <v>4.0</v>
      </c>
      <c r="H80" s="26">
        <v>115000.0</v>
      </c>
      <c r="I80" s="27">
        <v>0.0</v>
      </c>
    </row>
    <row r="81">
      <c r="A81" s="28"/>
      <c r="B81" s="28"/>
      <c r="C81" s="28"/>
      <c r="D81" s="28"/>
      <c r="E81" s="28"/>
      <c r="F81" s="29"/>
      <c r="G81" s="29"/>
      <c r="H81" s="28"/>
      <c r="I81" s="28"/>
      <c r="J81" s="28"/>
      <c r="K81" s="28"/>
      <c r="L81" s="28"/>
      <c r="M81" s="28"/>
    </row>
    <row r="82">
      <c r="A82" s="28"/>
      <c r="B82" s="28"/>
      <c r="C82" s="28"/>
      <c r="D82" s="28"/>
      <c r="E82" s="28"/>
      <c r="F82" s="29"/>
      <c r="G82" s="29"/>
      <c r="H82" s="28"/>
      <c r="I82" s="30"/>
      <c r="J82" s="30"/>
      <c r="K82" s="30"/>
      <c r="L82" s="30"/>
      <c r="M82" s="30"/>
    </row>
    <row r="83">
      <c r="A83" s="28"/>
      <c r="B83" s="28"/>
      <c r="C83" s="28"/>
      <c r="D83" s="28"/>
      <c r="E83" s="28"/>
      <c r="F83" s="29"/>
      <c r="G83" s="29"/>
      <c r="H83" s="28"/>
      <c r="I83" s="30"/>
      <c r="J83" s="30"/>
      <c r="K83" s="30"/>
      <c r="L83" s="30"/>
      <c r="M83" s="30"/>
    </row>
    <row r="84">
      <c r="A84" s="31"/>
      <c r="B84" s="31"/>
      <c r="C84" s="31"/>
      <c r="D84" s="28"/>
      <c r="E84" s="31"/>
      <c r="F84" s="28"/>
      <c r="G84" s="32"/>
      <c r="H84" s="28"/>
      <c r="I84" s="28"/>
      <c r="J84" s="28"/>
      <c r="K84" s="28"/>
      <c r="L84" s="28"/>
      <c r="M84" s="28"/>
    </row>
    <row r="85">
      <c r="A85" s="31"/>
      <c r="B85" s="31"/>
      <c r="C85" s="31"/>
      <c r="D85" s="28"/>
      <c r="E85" s="31"/>
      <c r="F85" s="28"/>
      <c r="G85" s="32"/>
      <c r="H85" s="28"/>
      <c r="I85" s="28"/>
      <c r="J85" s="28"/>
      <c r="K85" s="28"/>
      <c r="L85" s="28"/>
      <c r="M85" s="28"/>
    </row>
    <row r="86">
      <c r="A86" s="31"/>
      <c r="B86" s="31"/>
      <c r="C86" s="31"/>
      <c r="D86" s="28"/>
      <c r="E86" s="31"/>
      <c r="F86" s="28"/>
      <c r="G86" s="32"/>
      <c r="H86" s="28"/>
      <c r="I86" s="28"/>
      <c r="J86" s="28"/>
      <c r="K86" s="28"/>
      <c r="L86" s="28"/>
      <c r="M86" s="28"/>
    </row>
    <row r="87">
      <c r="A87" s="31"/>
      <c r="B87" s="31"/>
      <c r="C87" s="31"/>
      <c r="D87" s="33"/>
      <c r="E87" s="34"/>
      <c r="F87" s="28"/>
      <c r="G87" s="32"/>
      <c r="H87" s="28"/>
      <c r="I87" s="28"/>
      <c r="J87" s="28"/>
      <c r="K87" s="28"/>
      <c r="L87" s="28"/>
      <c r="M87" s="28"/>
    </row>
    <row r="88">
      <c r="A88" s="31"/>
      <c r="B88" s="31"/>
      <c r="C88" s="31"/>
      <c r="D88" s="28"/>
      <c r="E88" s="31"/>
      <c r="F88" s="28"/>
      <c r="G88" s="32"/>
      <c r="H88" s="28"/>
      <c r="I88" s="28"/>
      <c r="J88" s="28"/>
      <c r="K88" s="28"/>
      <c r="L88" s="28"/>
      <c r="M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</row>
    <row r="90">
      <c r="A90" s="35" t="s">
        <v>0</v>
      </c>
      <c r="B90" s="36" t="s">
        <v>165</v>
      </c>
      <c r="C90" s="36" t="s">
        <v>166</v>
      </c>
      <c r="D90" s="35" t="s">
        <v>167</v>
      </c>
      <c r="E90" s="37" t="s">
        <v>168</v>
      </c>
      <c r="F90" s="36" t="s">
        <v>169</v>
      </c>
      <c r="G90" s="36" t="s">
        <v>170</v>
      </c>
      <c r="H90" s="36" t="s">
        <v>171</v>
      </c>
      <c r="I90" s="36" t="s">
        <v>172</v>
      </c>
    </row>
    <row r="91">
      <c r="A91" s="65" t="s">
        <v>19</v>
      </c>
      <c r="B91" s="39">
        <f>SUMIF(Март_2025[[#ALL],[Филиал ТЦ]],A91,Март_2025[[#ALL],[Площадь (м²)]])</f>
        <v>2330</v>
      </c>
      <c r="C91" s="39">
        <f>SUMIFS(Март_2025[[#ALL],[Площадь (м²)]],Март_2025[[#ALL],[Филиал ТЦ]],A91,Март_2025[[#ALL],[Категория]],"&lt;&gt;Пустой")</f>
        <v>1895</v>
      </c>
      <c r="D91" s="40">
        <f>COUNTIFS(Март_2025[[#ALL],[Филиал ТЦ]],A91,Март_2025[[#ALL],[Номер помещения]],"&lt;&gt;")</f>
        <v>23</v>
      </c>
      <c r="E91" s="40">
        <f>COUNTIFS(Март_2025[[#ALL],[Филиал ТЦ]],A91,Март_2025[[#ALL],[ID арендатора]],"&lt;&gt;")</f>
        <v>21</v>
      </c>
      <c r="F91" s="41">
        <f>SUMIF(Март_2025[[#ALL],[Филиал ТЦ]],A91,Март_2025[[#ALL],[Продажи/мес]])</f>
        <v>600</v>
      </c>
      <c r="G91" s="42">
        <f>SUMIF(Март_2025[[#ALL],[Филиал ТЦ]],A91,Март_2025[[#ALL],[Выручка (руб/мес)]])</f>
        <v>27999000</v>
      </c>
      <c r="H91" s="42">
        <f>SUMIF(Март_2025[[#ALL],[Филиал ТЦ]],A91,Март_2025[[#ALL],[Долг по аренде (руб)]])</f>
        <v>511900</v>
      </c>
      <c r="I91" s="43">
        <f t="shared" ref="I91:I94" si="1">G91/C91</f>
        <v>14775.19789</v>
      </c>
    </row>
    <row r="92">
      <c r="A92" s="65" t="s">
        <v>9</v>
      </c>
      <c r="B92" s="39">
        <f>SUMIF(Март_2025[[#ALL],[Филиал ТЦ]],A92,Март_2025[[#ALL],[Площадь (м²)]])</f>
        <v>2176</v>
      </c>
      <c r="C92" s="39">
        <f>SUMIFS(Март_2025[[#ALL],[Площадь (м²)]],Март_2025[[#ALL],[Филиал ТЦ]],A92,Март_2025[[#ALL],[Категория]],"&lt;&gt;Пустой")</f>
        <v>2176</v>
      </c>
      <c r="D92" s="40">
        <f>COUNTIFS(Март_2025[[#ALL],[Филиал ТЦ]],A92,Март_2025[[#ALL],[Номер помещения]],"&lt;&gt;")</f>
        <v>18</v>
      </c>
      <c r="E92" s="40">
        <f>COUNTIFS(Март_2025[[#ALL],[Филиал ТЦ]],A92,Март_2025[[#ALL],[ID арендатора]],"&lt;&gt;")</f>
        <v>18</v>
      </c>
      <c r="F92" s="41">
        <f>SUMIF(Март_2025[[#ALL],[Филиал ТЦ]],A92,Март_2025[[#ALL],[Продажи/мес]])</f>
        <v>580</v>
      </c>
      <c r="G92" s="42">
        <f>SUMIF(Март_2025[[#ALL],[Филиал ТЦ]],A92,Март_2025[[#ALL],[Выручка (руб/мес)]])</f>
        <v>40708500</v>
      </c>
      <c r="H92" s="42">
        <f>SUMIF(Март_2025[[#ALL],[Филиал ТЦ]],A92,Март_2025[[#ALL],[Долг по аренде (руб)]])</f>
        <v>194670</v>
      </c>
      <c r="I92" s="43">
        <f t="shared" si="1"/>
        <v>18707.95037</v>
      </c>
    </row>
    <row r="93">
      <c r="A93" s="65" t="s">
        <v>13</v>
      </c>
      <c r="B93" s="39">
        <f>SUMIF(Март_2025[[#ALL],[Филиал ТЦ]],A93,Март_2025[[#ALL],[Площадь (м²)]])</f>
        <v>1855</v>
      </c>
      <c r="C93" s="39">
        <f>SUMIFS(Март_2025[[#ALL],[Площадь (м²)]],Март_2025[[#ALL],[Филиал ТЦ]],A93,Март_2025[[#ALL],[Категория]],"&lt;&gt;Пустой")</f>
        <v>1855</v>
      </c>
      <c r="D93" s="40">
        <f>COUNTIFS(Март_2025[[#ALL],[Филиал ТЦ]],A93,Март_2025[[#ALL],[Номер помещения]],"&lt;&gt;")</f>
        <v>18</v>
      </c>
      <c r="E93" s="40">
        <f>COUNTIFS(Март_2025[[#ALL],[Филиал ТЦ]],A93,Март_2025[[#ALL],[ID арендатора]],"&lt;&gt;")</f>
        <v>18</v>
      </c>
      <c r="F93" s="41">
        <f>SUMIF(Март_2025[[#ALL],[Филиал ТЦ]],A93,Март_2025[[#ALL],[Продажи/мес]])</f>
        <v>531</v>
      </c>
      <c r="G93" s="42">
        <f>SUMIF(Март_2025[[#ALL],[Филиал ТЦ]],A93,Март_2025[[#ALL],[Выручка (руб/мес)]])</f>
        <v>24080000</v>
      </c>
      <c r="H93" s="42">
        <f>SUMIF(Март_2025[[#ALL],[Филиал ТЦ]],A93,Март_2025[[#ALL],[Долг по аренде (руб)]])</f>
        <v>207180</v>
      </c>
      <c r="I93" s="43">
        <f t="shared" si="1"/>
        <v>12981.13208</v>
      </c>
    </row>
    <row r="94">
      <c r="A94" s="66" t="s">
        <v>16</v>
      </c>
      <c r="B94" s="45">
        <f>SUMIF(Март_2025[[#ALL],[Филиал ТЦ]],A94,Март_2025[[#ALL],[Площадь (м²)]])</f>
        <v>3112</v>
      </c>
      <c r="C94" s="45">
        <f>SUMIFS(Март_2025[[#ALL],[Площадь (м²)]],Март_2025[[#ALL],[Филиал ТЦ]],A94,Март_2025[[#ALL],[Категория]],"&lt;&gt;Пустой")</f>
        <v>3112</v>
      </c>
      <c r="D94" s="46">
        <f>COUNTIFS(Март_2025[[#ALL],[Филиал ТЦ]],A94,Март_2025[[#ALL],[Номер помещения]],"&lt;&gt;")</f>
        <v>20</v>
      </c>
      <c r="E94" s="46">
        <f>COUNTIFS(Март_2025[[#ALL],[Филиал ТЦ]],A94,Март_2025[[#ALL],[ID арендатора]],"&lt;&gt;")</f>
        <v>20</v>
      </c>
      <c r="F94" s="47">
        <f>SUMIF(Март_2025[[#ALL],[Филиал ТЦ]],A94,Март_2025[[#ALL],[Продажи/мес]])</f>
        <v>734</v>
      </c>
      <c r="G94" s="48">
        <f>SUMIF(Март_2025[[#ALL],[Филиал ТЦ]],A94,Март_2025[[#ALL],[Выручка (руб/мес)]])</f>
        <v>40955000</v>
      </c>
      <c r="H94" s="48">
        <f>SUMIF(Март_2025[[#ALL],[Филиал ТЦ]],A94,Март_2025[[#ALL],[Долг по аренде (руб)]])</f>
        <v>283460</v>
      </c>
      <c r="I94" s="49">
        <f t="shared" si="1"/>
        <v>13160.34704</v>
      </c>
    </row>
    <row r="95">
      <c r="A95" s="31"/>
      <c r="B95" s="31"/>
      <c r="C95" s="31"/>
      <c r="D95" s="28"/>
      <c r="E95" s="31"/>
      <c r="F95" s="28"/>
      <c r="G95" s="32"/>
      <c r="H95" s="28"/>
      <c r="I95" s="28"/>
      <c r="J95" s="28"/>
      <c r="K95" s="28"/>
      <c r="L95" s="28"/>
      <c r="M95" s="28"/>
    </row>
    <row r="96">
      <c r="A96" s="31"/>
      <c r="B96" s="31"/>
      <c r="C96" s="31"/>
      <c r="D96" s="28"/>
      <c r="E96" s="31"/>
      <c r="F96" s="28"/>
      <c r="G96" s="32"/>
      <c r="H96" s="28"/>
      <c r="I96" s="28"/>
      <c r="J96" s="28"/>
      <c r="K96" s="28"/>
      <c r="L96" s="28"/>
      <c r="M96" s="28"/>
    </row>
    <row r="97">
      <c r="A97" s="31"/>
      <c r="B97" s="31"/>
      <c r="C97" s="31"/>
      <c r="D97" s="28"/>
      <c r="E97" s="31"/>
      <c r="F97" s="28"/>
      <c r="G97" s="32"/>
      <c r="H97" s="28"/>
      <c r="I97" s="28"/>
      <c r="J97" s="28"/>
      <c r="K97" s="28"/>
      <c r="L97" s="28"/>
      <c r="M97" s="28"/>
    </row>
    <row r="98" ht="19.5" customHeight="1">
      <c r="A98" s="50"/>
      <c r="B98" s="51" t="s">
        <v>16</v>
      </c>
      <c r="E98" s="51" t="s">
        <v>9</v>
      </c>
      <c r="H98" s="51" t="s">
        <v>13</v>
      </c>
      <c r="K98" s="51" t="s">
        <v>19</v>
      </c>
    </row>
    <row r="99" ht="19.5" customHeight="1">
      <c r="A99" s="52"/>
      <c r="B99" s="53" t="s">
        <v>173</v>
      </c>
      <c r="C99" s="53" t="s">
        <v>174</v>
      </c>
      <c r="D99" s="54" t="s">
        <v>175</v>
      </c>
      <c r="E99" s="53" t="s">
        <v>176</v>
      </c>
      <c r="F99" s="53" t="s">
        <v>177</v>
      </c>
      <c r="G99" s="54" t="s">
        <v>175</v>
      </c>
      <c r="H99" s="55" t="s">
        <v>176</v>
      </c>
      <c r="I99" s="55" t="s">
        <v>177</v>
      </c>
      <c r="J99" s="56" t="s">
        <v>175</v>
      </c>
      <c r="K99" s="55" t="s">
        <v>176</v>
      </c>
      <c r="L99" s="55" t="s">
        <v>177</v>
      </c>
      <c r="M99" s="56" t="s">
        <v>175</v>
      </c>
    </row>
    <row r="100" ht="19.5" customHeight="1">
      <c r="A100" s="57" t="s">
        <v>65</v>
      </c>
      <c r="B100" s="58">
        <f>SUMIFS(Март_2025[[#ALL],[Площадь (м²)]],Март_2025[[#ALL],[Филиал ТЦ]],B$98,Март_2025[[#ALL],[Категория]],$A100)/SUMIFS(Март_2025[[#ALL],[Площадь (м²)]],Март_2025[[#ALL],[Филиал ТЦ]],B$98)</f>
        <v>0.1446015424</v>
      </c>
      <c r="C100" s="59">
        <f>IF(B100&gt;0, SUMIFS(Март_2025[[#ALL],[Выручка (руб/мес)]],Март_2025[[#ALL],[Филиал ТЦ]],B$98,Март_2025[[#ALL],[Категория]],$A100)/SUMIFS(Март_2025[[#ALL],[Продажи/мес]],Март_2025[[#ALL],[Филиал ТЦ]],B$98,Март_2025[[#ALL],[Категория]],$A100), "нет категории")</f>
        <v>180434.7826</v>
      </c>
      <c r="D100" s="60">
        <f>IF(B100&gt;0, SUMIFS(Март_2025[[#ALL],[Выручка (руб/мес)]],Март_2025[[#ALL],[Филиал ТЦ]],B$98,Март_2025[[#ALL],[Категория]],$A100)/SUMIFS(Март_2025[[#ALL],[Площадь (м²)]],Март_2025[[#ALL],[Филиал ТЦ]],B$98,Март_2025[[#ALL],[Категория]],$A100), "нет категории")</f>
        <v>18444.44444</v>
      </c>
      <c r="E100" s="58">
        <f>SUMIFS(Март_2025[[#ALL],[Площадь (м²)]],Март_2025[[#ALL],[Филиал ТЦ]],E$98,Март_2025[[#ALL],[Категория]],$A100)/SUMIFS(Март_2025[[#ALL],[Площадь (м²)]],Март_2025[[#ALL],[Филиал ТЦ]],E$98)</f>
        <v>0.1659007353</v>
      </c>
      <c r="F100" s="59">
        <f>IF(E100&gt;0, SUMIFS(Март_2025[[#ALL],[Выручка (руб/мес)]],Март_2025[[#ALL],[Филиал ТЦ]],E$98,Март_2025[[#ALL],[Категория]],$A100)/SUMIFS(Март_2025[[#ALL],[Продажи/мес]],Март_2025[[#ALL],[Филиал ТЦ]],E$98,Март_2025[[#ALL],[Категория]],$A100), "нет категории")</f>
        <v>135814.2857</v>
      </c>
      <c r="G100" s="60">
        <f>IF(E100&gt;0,SUMIFS(Март_2025[[#ALL],[Выручка (руб/мес)]],Март_2025[[#ALL],[Филиал ТЦ]],E$98,Март_2025[[#ALL],[Категория]],$A100)/SUMIFS(Март_2025[[#ALL],[Площадь (м²)]],Март_2025[[#ALL],[Филиал ТЦ]],E$98,Март_2025[[#ALL],[Категория]],$A100), "нет категории")</f>
        <v>13167.59003</v>
      </c>
      <c r="H100" s="58">
        <f>SUMIFS(Март_2025[[#ALL],[Площадь (м²)]],Март_2025[[#ALL],[Филиал ТЦ]],H$98,Март_2025[[#ALL],[Категория]],$A100)/SUMIFS(Март_2025[[#ALL],[Площадь (м²)]],Март_2025[[#ALL],[Филиал ТЦ]],H$98)</f>
        <v>0.1725067385</v>
      </c>
      <c r="I100" s="59">
        <f>IF(H100&gt;0, SUMIFS(Март_2025[[#ALL],[Выручка (руб/мес)]],Март_2025[[#ALL],[Филиал ТЦ]],H$98,Март_2025[[#ALL],[Категория]],$A100)/SUMIFS(Март_2025[[#ALL],[Продажи/мес]],Март_2025[[#ALL],[Филиал ТЦ]],H$98,Март_2025[[#ALL],[Категория]],$A100), "нет категории")</f>
        <v>205937.5</v>
      </c>
      <c r="J100" s="60">
        <f>IF(H100&gt;0, SUMIFS(Март_2025[[#ALL],[Выручка (руб/мес)]],Март_2025[[#ALL],[Филиал ТЦ]],H$98,Март_2025[[#ALL],[Категория]],$A100)/SUMIFS(Март_2025[[#ALL],[Площадь (м²)]],Март_2025[[#ALL],[Филиал ТЦ]],H$98,Март_2025[[#ALL],[Категория]],$A100), "нет категории")</f>
        <v>20593.75</v>
      </c>
      <c r="K100" s="58">
        <f>SUMIFS(Март_2025[[#ALL],[Площадь (м²)]],Март_2025[[#ALL],[Филиал ТЦ]],K$98,Март_2025[[#ALL],[Категория]],$A100)/SUMIFS(Март_2025[[#ALL],[Площадь (м²)]],Март_2025[[#ALL],[Филиал ТЦ]],K$98)</f>
        <v>0.1459227468</v>
      </c>
      <c r="L100" s="59">
        <f>IF(K100&gt;0, SUMIFS(Март_2025[[#ALL],[Выручка (руб/мес)]],Март_2025[[#ALL],[Филиал ТЦ]],K$98,Март_2025[[#ALL],[Категория]],$A100)/SUMIFS(Март_2025[[#ALL],[Продажи/мес]],Март_2025[[#ALL],[Филиал ТЦ]],K$98,Март_2025[[#ALL],[Категория]],$A100), "нет категории")</f>
        <v>171428.5714</v>
      </c>
      <c r="M100" s="60">
        <f>IF(K100&gt;0, SUMIFS(Март_2025[[#ALL],[Выручка (руб/мес)]],Март_2025[[#ALL],[Филиал ТЦ]],K$98,Март_2025[[#ALL],[Категория]],$A100)/SUMIFS(Март_2025[[#ALL],[Площадь (м²)]],Март_2025[[#ALL],[Филиал ТЦ]],K$98,Март_2025[[#ALL],[Категория]],$A100), "нет категории")</f>
        <v>24705.88235</v>
      </c>
    </row>
    <row r="101" ht="19.5" customHeight="1">
      <c r="A101" s="61" t="s">
        <v>93</v>
      </c>
      <c r="B101" s="62">
        <f>SUMIFS(Март_2025[[#ALL],[Площадь (м²)]],Март_2025[[#ALL],[Филиал ТЦ]],B$98,Март_2025[[#ALL],[Категория]],$A101)/SUMIFS(Март_2025[[#ALL],[Площадь (м²)]],Март_2025[[#ALL],[Филиал ТЦ]],B$98)</f>
        <v>0.2008354756</v>
      </c>
      <c r="C101" s="63">
        <f>IF(B101&gt;0, SUMIFS(Март_2025[[#ALL],[Выручка (руб/мес)]],Март_2025[[#ALL],[Филиал ТЦ]],B$98,Март_2025[[#ALL],[Категория]],$A101)/SUMIFS(Март_2025[[#ALL],[Продажи/мес]],Март_2025[[#ALL],[Филиал ТЦ]],B$98,Март_2025[[#ALL],[Категория]],$A101), "нет категории")</f>
        <v>67777.77778</v>
      </c>
      <c r="D101" s="64">
        <f>IF(B101&gt;0, SUMIFS(Март_2025[[#ALL],[Выручка (руб/мес)]],Март_2025[[#ALL],[Филиал ТЦ]],B$98,Март_2025[[#ALL],[Категория]],$A101)/SUMIFS(Март_2025[[#ALL],[Площадь (м²)]],Март_2025[[#ALL],[Филиал ТЦ]],B$98,Март_2025[[#ALL],[Категория]],$A101), "нет категории")</f>
        <v>15616</v>
      </c>
      <c r="E101" s="62">
        <f>SUMIFS(Март_2025[[#ALL],[Площадь (м²)]],Март_2025[[#ALL],[Филиал ТЦ]],E$98,Март_2025[[#ALL],[Категория]],$A101)/SUMIFS(Март_2025[[#ALL],[Площадь (м²)]],Март_2025[[#ALL],[Филиал ТЦ]],E$98)</f>
        <v>0.1930147059</v>
      </c>
      <c r="F101" s="63">
        <f>IF(E101&gt;0, SUMIFS(Март_2025[[#ALL],[Выручка (руб/мес)]],Март_2025[[#ALL],[Филиал ТЦ]],E$98,Март_2025[[#ALL],[Категория]],$A101)/SUMIFS(Март_2025[[#ALL],[Продажи/мес]],Март_2025[[#ALL],[Филиал ТЦ]],E$98,Март_2025[[#ALL],[Категория]],$A101), "нет категории")</f>
        <v>69685.03937</v>
      </c>
      <c r="G101" s="64">
        <f>IF(E101&gt;0,SUMIFS(Март_2025[[#ALL],[Выручка (руб/мес)]],Март_2025[[#ALL],[Филиал ТЦ]],E$98,Март_2025[[#ALL],[Категория]],$A101)/SUMIFS(Март_2025[[#ALL],[Площадь (м²)]],Март_2025[[#ALL],[Филиал ТЦ]],E$98,Март_2025[[#ALL],[Категория]],$A101), "нет категории")</f>
        <v>21071.42857</v>
      </c>
      <c r="H101" s="62">
        <f>SUMIFS(Март_2025[[#ALL],[Площадь (м²)]],Март_2025[[#ALL],[Филиал ТЦ]],H$98,Март_2025[[#ALL],[Категория]],$A101)/SUMIFS(Март_2025[[#ALL],[Площадь (м²)]],Март_2025[[#ALL],[Филиал ТЦ]],H$98)</f>
        <v>0.269541779</v>
      </c>
      <c r="I101" s="63">
        <f>IF(H101&gt;0, SUMIFS(Март_2025[[#ALL],[Выручка (руб/мес)]],Март_2025[[#ALL],[Филиал ТЦ]],H$98,Март_2025[[#ALL],[Категория]],$A101)/SUMIFS(Март_2025[[#ALL],[Продажи/мес]],Март_2025[[#ALL],[Филиал ТЦ]],H$98,Март_2025[[#ALL],[Категория]],$A101), "нет категории")</f>
        <v>52647.05882</v>
      </c>
      <c r="J101" s="64">
        <f>IF(H101&gt;0, SUMIFS(Март_2025[[#ALL],[Выручка (руб/мес)]],Март_2025[[#ALL],[Филиал ТЦ]],H$98,Март_2025[[#ALL],[Категория]],$A101)/SUMIFS(Март_2025[[#ALL],[Площадь (м²)]],Март_2025[[#ALL],[Филиал ТЦ]],H$98,Март_2025[[#ALL],[Категория]],$A101), "нет категории")</f>
        <v>14320</v>
      </c>
      <c r="K101" s="62">
        <f>SUMIFS(Март_2025[[#ALL],[Площадь (м²)]],Март_2025[[#ALL],[Филиал ТЦ]],K$98,Март_2025[[#ALL],[Категория]],$A101)/SUMIFS(Март_2025[[#ALL],[Площадь (м²)]],Март_2025[[#ALL],[Филиал ТЦ]],K$98)</f>
        <v>0.1995708155</v>
      </c>
      <c r="L101" s="63">
        <f>IF(K101&gt;0, SUMIFS(Март_2025[[#ALL],[Выручка (руб/мес)]],Март_2025[[#ALL],[Филиал ТЦ]],K$98,Март_2025[[#ALL],[Категория]],$A101)/SUMIFS(Март_2025[[#ALL],[Продажи/мес]],Март_2025[[#ALL],[Филиал ТЦ]],K$98,Март_2025[[#ALL],[Категория]],$A101), "нет категории")</f>
        <v>53055.55556</v>
      </c>
      <c r="M101" s="64">
        <f>IF(K101&gt;0, SUMIFS(Март_2025[[#ALL],[Выручка (руб/мес)]],Март_2025[[#ALL],[Филиал ТЦ]],K$98,Март_2025[[#ALL],[Категория]],$A101)/SUMIFS(Март_2025[[#ALL],[Площадь (м²)]],Март_2025[[#ALL],[Филиал ТЦ]],K$98,Март_2025[[#ALL],[Категория]],$A101), "нет категории")</f>
        <v>16430.10753</v>
      </c>
    </row>
    <row r="102" ht="19.5" customHeight="1">
      <c r="A102" s="61" t="s">
        <v>140</v>
      </c>
      <c r="B102" s="62">
        <f>SUMIFS(Март_2025[[#ALL],[Площадь (м²)]],Март_2025[[#ALL],[Филиал ТЦ]],B$98,Март_2025[[#ALL],[Категория]],$A102)/SUMIFS(Март_2025[[#ALL],[Площадь (м²)]],Март_2025[[#ALL],[Филиал ТЦ]],B$98)</f>
        <v>0.05141388175</v>
      </c>
      <c r="C102" s="63">
        <f>IF(B102&gt;0, SUMIFS(Март_2025[[#ALL],[Выручка (руб/мес)]],Март_2025[[#ALL],[Филиал ТЦ]],B$98,Март_2025[[#ALL],[Категория]],$A102)/SUMIFS(Март_2025[[#ALL],[Продажи/мес]],Март_2025[[#ALL],[Филиал ТЦ]],B$98,Март_2025[[#ALL],[Категория]],$A102), "нет категории")</f>
        <v>17333.33333</v>
      </c>
      <c r="D102" s="64">
        <f>IF(B102&gt;0, SUMIFS(Март_2025[[#ALL],[Выручка (руб/мес)]],Март_2025[[#ALL],[Филиал ТЦ]],B$98,Март_2025[[#ALL],[Категория]],$A102)/SUMIFS(Март_2025[[#ALL],[Площадь (м²)]],Март_2025[[#ALL],[Филиал ТЦ]],B$98,Март_2025[[#ALL],[Категория]],$A102), "нет категории")</f>
        <v>8125</v>
      </c>
      <c r="E102" s="62">
        <f>SUMIFS(Март_2025[[#ALL],[Площадь (м²)]],Март_2025[[#ALL],[Филиал ТЦ]],E$98,Март_2025[[#ALL],[Категория]],$A102)/SUMIFS(Март_2025[[#ALL],[Площадь (м²)]],Март_2025[[#ALL],[Филиал ТЦ]],E$98)</f>
        <v>0.06893382353</v>
      </c>
      <c r="F102" s="63">
        <f>IF(E102&gt;0, SUMIFS(Март_2025[[#ALL],[Выручка (руб/мес)]],Март_2025[[#ALL],[Филиал ТЦ]],E$98,Март_2025[[#ALL],[Категория]],$A102)/SUMIFS(Март_2025[[#ALL],[Продажи/мес]],Март_2025[[#ALL],[Филиал ТЦ]],E$98,Март_2025[[#ALL],[Категория]],$A102), "нет категории")</f>
        <v>15625</v>
      </c>
      <c r="G102" s="64">
        <f>IF(E102&gt;0,SUMIFS(Март_2025[[#ALL],[Выручка (руб/мес)]],Март_2025[[#ALL],[Филиал ТЦ]],E$98,Март_2025[[#ALL],[Категория]],$A102)/SUMIFS(Март_2025[[#ALL],[Площадь (м²)]],Март_2025[[#ALL],[Филиал ТЦ]],E$98,Март_2025[[#ALL],[Категория]],$A102), "нет категории")</f>
        <v>8333.333333</v>
      </c>
      <c r="H102" s="62">
        <f>SUMIFS(Март_2025[[#ALL],[Площадь (м²)]],Март_2025[[#ALL],[Филиал ТЦ]],H$98,Март_2025[[#ALL],[Категория]],$A102)/SUMIFS(Март_2025[[#ALL],[Площадь (м²)]],Март_2025[[#ALL],[Филиал ТЦ]],H$98)</f>
        <v>0.07547169811</v>
      </c>
      <c r="I102" s="63">
        <f>IF(H102&gt;0, SUMIFS(Март_2025[[#ALL],[Выручка (руб/мес)]],Март_2025[[#ALL],[Филиал ТЦ]],H$98,Март_2025[[#ALL],[Категория]],$A102)/SUMIFS(Март_2025[[#ALL],[Продажи/мес]],Март_2025[[#ALL],[Филиал ТЦ]],H$98,Март_2025[[#ALL],[Категория]],$A102), "нет категории")</f>
        <v>17142.85714</v>
      </c>
      <c r="J102" s="64">
        <f>IF(H102&gt;0, SUMIFS(Март_2025[[#ALL],[Выручка (руб/мес)]],Март_2025[[#ALL],[Филиал ТЦ]],H$98,Март_2025[[#ALL],[Категория]],$A102)/SUMIFS(Март_2025[[#ALL],[Площадь (м²)]],Март_2025[[#ALL],[Филиал ТЦ]],H$98,Март_2025[[#ALL],[Категория]],$A102), "нет категории")</f>
        <v>8571.428571</v>
      </c>
      <c r="K102" s="62">
        <f>SUMIFS(Март_2025[[#ALL],[Площадь (м²)]],Март_2025[[#ALL],[Филиал ТЦ]],K$98,Март_2025[[#ALL],[Категория]],$A102)/SUMIFS(Март_2025[[#ALL],[Площадь (м²)]],Март_2025[[#ALL],[Филиал ТЦ]],K$98)</f>
        <v>0.07725321888</v>
      </c>
      <c r="L102" s="63">
        <f>IF(K102&gt;0, SUMIFS(Март_2025[[#ALL],[Выручка (руб/мес)]],Март_2025[[#ALL],[Филиал ТЦ]],K$98,Март_2025[[#ALL],[Категория]],$A102)/SUMIFS(Март_2025[[#ALL],[Продажи/мес]],Март_2025[[#ALL],[Филиал ТЦ]],K$98,Март_2025[[#ALL],[Категория]],$A102), "нет категории")</f>
        <v>10372.34043</v>
      </c>
      <c r="M102" s="64">
        <f>IF(K102&gt;0, SUMIFS(Март_2025[[#ALL],[Выручка (руб/мес)]],Март_2025[[#ALL],[Филиал ТЦ]],K$98,Март_2025[[#ALL],[Категория]],$A102)/SUMIFS(Март_2025[[#ALL],[Площадь (м²)]],Март_2025[[#ALL],[Филиал ТЦ]],K$98,Март_2025[[#ALL],[Категория]],$A102), "нет категории")</f>
        <v>5416.666667</v>
      </c>
    </row>
    <row r="103" ht="19.5" customHeight="1">
      <c r="A103" s="61" t="s">
        <v>130</v>
      </c>
      <c r="B103" s="62">
        <f>SUMIFS(Март_2025[[#ALL],[Площадь (м²)]],Март_2025[[#ALL],[Филиал ТЦ]],B$98,Март_2025[[#ALL],[Категория]],$A103)/SUMIFS(Март_2025[[#ALL],[Площадь (м²)]],Март_2025[[#ALL],[Филиал ТЦ]],B$98)</f>
        <v>0.0353470437</v>
      </c>
      <c r="C103" s="63">
        <f>IF(B103&gt;0, SUMIFS(Март_2025[[#ALL],[Выручка (руб/мес)]],Март_2025[[#ALL],[Филиал ТЦ]],B$98,Март_2025[[#ALL],[Категория]],$A103)/SUMIFS(Март_2025[[#ALL],[Продажи/мес]],Март_2025[[#ALL],[Филиал ТЦ]],B$98,Март_2025[[#ALL],[Категория]],$A103), "нет категории")</f>
        <v>12000</v>
      </c>
      <c r="D103" s="64">
        <f>IF(B103&gt;0, SUMIFS(Март_2025[[#ALL],[Выручка (руб/мес)]],Март_2025[[#ALL],[Филиал ТЦ]],B$98,Март_2025[[#ALL],[Категория]],$A103)/SUMIFS(Март_2025[[#ALL],[Площадь (м²)]],Март_2025[[#ALL],[Филиал ТЦ]],B$98,Март_2025[[#ALL],[Категория]],$A103), "нет категории")</f>
        <v>5454.545455</v>
      </c>
      <c r="E103" s="62">
        <f>SUMIFS(Март_2025[[#ALL],[Площадь (м²)]],Март_2025[[#ALL],[Филиал ТЦ]],E$98,Март_2025[[#ALL],[Категория]],$A103)/SUMIFS(Март_2025[[#ALL],[Площадь (м²)]],Март_2025[[#ALL],[Филиал ТЦ]],E$98)</f>
        <v>0.04595588235</v>
      </c>
      <c r="F103" s="63">
        <f>IF(E103&gt;0, SUMIFS(Март_2025[[#ALL],[Выручка (руб/мес)]],Март_2025[[#ALL],[Филиал ТЦ]],E$98,Март_2025[[#ALL],[Категория]],$A103)/SUMIFS(Март_2025[[#ALL],[Продажи/мес]],Март_2025[[#ALL],[Филиал ТЦ]],E$98,Март_2025[[#ALL],[Категория]],$A103), "нет категории")</f>
        <v>12222.22222</v>
      </c>
      <c r="G103" s="64">
        <f>IF(E103&gt;0,SUMIFS(Март_2025[[#ALL],[Выручка (руб/мес)]],Март_2025[[#ALL],[Филиал ТЦ]],E$98,Март_2025[[#ALL],[Категория]],$A103)/SUMIFS(Март_2025[[#ALL],[Площадь (м²)]],Март_2025[[#ALL],[Филиал ТЦ]],E$98,Март_2025[[#ALL],[Категория]],$A103), "нет категории")</f>
        <v>5500</v>
      </c>
      <c r="H103" s="62">
        <f>SUMIFS(Март_2025[[#ALL],[Площадь (м²)]],Март_2025[[#ALL],[Филиал ТЦ]],H$98,Март_2025[[#ALL],[Категория]],$A103)/SUMIFS(Март_2025[[#ALL],[Площадь (м²)]],Март_2025[[#ALL],[Филиал ТЦ]],H$98)</f>
        <v>0.04851752022</v>
      </c>
      <c r="I103" s="63">
        <f>IF(H103&gt;0, SUMIFS(Март_2025[[#ALL],[Выручка (руб/мес)]],Март_2025[[#ALL],[Филиал ТЦ]],H$98,Март_2025[[#ALL],[Категория]],$A103)/SUMIFS(Март_2025[[#ALL],[Продажи/мес]],Март_2025[[#ALL],[Филиал ТЦ]],H$98,Март_2025[[#ALL],[Категория]],$A103), "нет категории")</f>
        <v>11250</v>
      </c>
      <c r="J103" s="64">
        <f>IF(H103&gt;0, SUMIFS(Март_2025[[#ALL],[Выручка (руб/мес)]],Март_2025[[#ALL],[Филиал ТЦ]],H$98,Март_2025[[#ALL],[Категория]],$A103)/SUMIFS(Март_2025[[#ALL],[Площадь (м²)]],Март_2025[[#ALL],[Филиал ТЦ]],H$98,Март_2025[[#ALL],[Категория]],$A103), "нет категории")</f>
        <v>5000</v>
      </c>
      <c r="K103" s="62">
        <f>SUMIFS(Март_2025[[#ALL],[Площадь (м²)]],Март_2025[[#ALL],[Филиал ТЦ]],K$98,Март_2025[[#ALL],[Категория]],$A103)/SUMIFS(Март_2025[[#ALL],[Площадь (м²)]],Март_2025[[#ALL],[Филиал ТЦ]],K$98)</f>
        <v>0.03433476395</v>
      </c>
      <c r="L103" s="63">
        <f>IF(K103&gt;0, SUMIFS(Март_2025[[#ALL],[Выручка (руб/мес)]],Март_2025[[#ALL],[Филиал ТЦ]],K$98,Март_2025[[#ALL],[Категория]],$A103)/SUMIFS(Март_2025[[#ALL],[Продажи/мес]],Март_2025[[#ALL],[Филиал ТЦ]],K$98,Март_2025[[#ALL],[Категория]],$A103), "нет категории")</f>
        <v>11428.57143</v>
      </c>
      <c r="M103" s="64">
        <f>IF(K103&gt;0, SUMIFS(Март_2025[[#ALL],[Выручка (руб/мес)]],Март_2025[[#ALL],[Филиал ТЦ]],K$98,Март_2025[[#ALL],[Категория]],$A103)/SUMIFS(Март_2025[[#ALL],[Площадь (м²)]],Март_2025[[#ALL],[Филиал ТЦ]],K$98,Март_2025[[#ALL],[Категория]],$A103), "нет категории")</f>
        <v>5000</v>
      </c>
    </row>
    <row r="104" ht="19.5" customHeight="1">
      <c r="A104" s="61" t="s">
        <v>24</v>
      </c>
      <c r="B104" s="62">
        <f>SUMIFS(Март_2025[[#ALL],[Площадь (м²)]],Март_2025[[#ALL],[Филиал ТЦ]],B$98,Март_2025[[#ALL],[Категория]],$A104)/SUMIFS(Март_2025[[#ALL],[Площадь (м²)]],Март_2025[[#ALL],[Филиал ТЦ]],B$98)</f>
        <v>0.07422879177</v>
      </c>
      <c r="C104" s="63">
        <f>IF(B104&gt;0, SUMIFS(Март_2025[[#ALL],[Выручка (руб/мес)]],Март_2025[[#ALL],[Филиал ТЦ]],B$98,Март_2025[[#ALL],[Категория]],$A104)/SUMIFS(Март_2025[[#ALL],[Продажи/мес]],Март_2025[[#ALL],[Филиал ТЦ]],B$98,Март_2025[[#ALL],[Категория]],$A104), "нет категории")</f>
        <v>69230.76923</v>
      </c>
      <c r="D104" s="64">
        <f>IF(B104&gt;0, SUMIFS(Март_2025[[#ALL],[Выручка (руб/мес)]],Март_2025[[#ALL],[Филиал ТЦ]],B$98,Март_2025[[#ALL],[Категория]],$A104)/SUMIFS(Март_2025[[#ALL],[Площадь (м²)]],Март_2025[[#ALL],[Филиал ТЦ]],B$98,Март_2025[[#ALL],[Категория]],$A104), "нет категории")</f>
        <v>11688.31169</v>
      </c>
      <c r="E104" s="62">
        <f>SUMIFS(Март_2025[[#ALL],[Площадь (м²)]],Март_2025[[#ALL],[Филиал ТЦ]],E$98,Март_2025[[#ALL],[Категория]],$A104)/SUMIFS(Март_2025[[#ALL],[Площадь (м²)]],Март_2025[[#ALL],[Филиал ТЦ]],E$98)</f>
        <v>0.08272058824</v>
      </c>
      <c r="F104" s="63">
        <f>IF(E104&gt;0, SUMIFS(Март_2025[[#ALL],[Выручка (руб/мес)]],Март_2025[[#ALL],[Филиал ТЦ]],E$98,Март_2025[[#ALL],[Категория]],$A104)/SUMIFS(Март_2025[[#ALL],[Продажи/мес]],Март_2025[[#ALL],[Филиал ТЦ]],E$98,Март_2025[[#ALL],[Категория]],$A104), "нет категории")</f>
        <v>28615.38462</v>
      </c>
      <c r="G104" s="64">
        <f>IF(E104&gt;0,SUMIFS(Март_2025[[#ALL],[Выручка (руб/мес)]],Март_2025[[#ALL],[Филиал ТЦ]],E$98,Март_2025[[#ALL],[Категория]],$A104)/SUMIFS(Март_2025[[#ALL],[Площадь (м²)]],Март_2025[[#ALL],[Филиал ТЦ]],E$98,Март_2025[[#ALL],[Категория]],$A104), "нет категории")</f>
        <v>10333.33333</v>
      </c>
      <c r="H104" s="62">
        <f>SUMIFS(Март_2025[[#ALL],[Площадь (м²)]],Март_2025[[#ALL],[Филиал ТЦ]],H$98,Март_2025[[#ALL],[Категория]],$A104)/SUMIFS(Март_2025[[#ALL],[Площадь (м²)]],Март_2025[[#ALL],[Филиал ТЦ]],H$98)</f>
        <v>0.08032345013</v>
      </c>
      <c r="I104" s="63">
        <f>IF(H104&gt;0, SUMIFS(Март_2025[[#ALL],[Выручка (руб/мес)]],Март_2025[[#ALL],[Филиал ТЦ]],H$98,Март_2025[[#ALL],[Категория]],$A104)/SUMIFS(Март_2025[[#ALL],[Продажи/мес]],Март_2025[[#ALL],[Филиал ТЦ]],H$98,Март_2025[[#ALL],[Категория]],$A104), "нет категории")</f>
        <v>101666.6667</v>
      </c>
      <c r="J104" s="64">
        <f>IF(H104&gt;0, SUMIFS(Март_2025[[#ALL],[Выручка (руб/мес)]],Март_2025[[#ALL],[Филиал ТЦ]],H$98,Март_2025[[#ALL],[Категория]],$A104)/SUMIFS(Март_2025[[#ALL],[Площадь (м²)]],Март_2025[[#ALL],[Филиал ТЦ]],H$98,Март_2025[[#ALL],[Категория]],$A104), "нет категории")</f>
        <v>12281.87919</v>
      </c>
      <c r="K104" s="62">
        <f>SUMIFS(Март_2025[[#ALL],[Площадь (м²)]],Март_2025[[#ALL],[Филиал ТЦ]],K$98,Март_2025[[#ALL],[Категория]],$A104)/SUMIFS(Март_2025[[#ALL],[Площадь (м²)]],Март_2025[[#ALL],[Филиал ТЦ]],K$98)</f>
        <v>0.0652360515</v>
      </c>
      <c r="L104" s="63">
        <f>IF(K104&gt;0, SUMIFS(Март_2025[[#ALL],[Выручка (руб/мес)]],Март_2025[[#ALL],[Филиал ТЦ]],K$98,Март_2025[[#ALL],[Категория]],$A104)/SUMIFS(Март_2025[[#ALL],[Продажи/мес]],Март_2025[[#ALL],[Филиал ТЦ]],K$98,Март_2025[[#ALL],[Категория]],$A104), "нет категории")</f>
        <v>31250</v>
      </c>
      <c r="M104" s="64">
        <f>IF(K104&gt;0, SUMIFS(Март_2025[[#ALL],[Выручка (руб/мес)]],Март_2025[[#ALL],[Филиал ТЦ]],K$98,Март_2025[[#ALL],[Категория]],$A104)/SUMIFS(Март_2025[[#ALL],[Площадь (м²)]],Март_2025[[#ALL],[Филиал ТЦ]],K$98,Март_2025[[#ALL],[Категория]],$A104), "нет категории")</f>
        <v>9868.421053</v>
      </c>
    </row>
    <row r="105" ht="19.5" customHeight="1">
      <c r="A105" s="61" t="s">
        <v>40</v>
      </c>
      <c r="B105" s="62">
        <f>SUMIFS(Март_2025[[#ALL],[Площадь (м²)]],Март_2025[[#ALL],[Филиал ТЦ]],B$98,Март_2025[[#ALL],[Категория]],$A105)/SUMIFS(Март_2025[[#ALL],[Площадь (м²)]],Март_2025[[#ALL],[Филиал ТЦ]],B$98)</f>
        <v>0.09511568123</v>
      </c>
      <c r="C105" s="63">
        <f>IF(B105&gt;0, SUMIFS(Март_2025[[#ALL],[Выручка (руб/мес)]],Март_2025[[#ALL],[Филиал ТЦ]],B$98,Март_2025[[#ALL],[Категория]],$A105)/SUMIFS(Март_2025[[#ALL],[Продажи/мес]],Март_2025[[#ALL],[Филиал ТЦ]],B$98,Март_2025[[#ALL],[Категория]],$A105), "нет категории")</f>
        <v>76923.07692</v>
      </c>
      <c r="D105" s="64">
        <f>IF(B105&gt;0, SUMIFS(Март_2025[[#ALL],[Выручка (руб/мес)]],Март_2025[[#ALL],[Филиал ТЦ]],B$98,Март_2025[[#ALL],[Категория]],$A105)/SUMIFS(Март_2025[[#ALL],[Площадь (м²)]],Март_2025[[#ALL],[Филиал ТЦ]],B$98,Март_2025[[#ALL],[Категория]],$A105), "нет категории")</f>
        <v>13513.51351</v>
      </c>
      <c r="E105" s="62">
        <f>SUMIFS(Март_2025[[#ALL],[Площадь (м²)]],Март_2025[[#ALL],[Филиал ТЦ]],E$98,Март_2025[[#ALL],[Категория]],$A105)/SUMIFS(Март_2025[[#ALL],[Площадь (м²)]],Март_2025[[#ALL],[Филиал ТЦ]],E$98)</f>
        <v>0.2045036765</v>
      </c>
      <c r="F105" s="63">
        <f>IF(E105&gt;0, SUMIFS(Март_2025[[#ALL],[Выручка (руб/мес)]],Март_2025[[#ALL],[Филиал ТЦ]],E$98,Март_2025[[#ALL],[Категория]],$A105)/SUMIFS(Март_2025[[#ALL],[Продажи/мес]],Март_2025[[#ALL],[Филиал ТЦ]],E$98,Март_2025[[#ALL],[Категория]],$A105), "нет категории")</f>
        <v>58750</v>
      </c>
      <c r="G105" s="64">
        <f>IF(E105&gt;0,SUMIFS(Март_2025[[#ALL],[Выручка (руб/мес)]],Март_2025[[#ALL],[Филиал ТЦ]],E$98,Март_2025[[#ALL],[Категория]],$A105)/SUMIFS(Март_2025[[#ALL],[Площадь (м²)]],Март_2025[[#ALL],[Филиал ТЦ]],E$98,Март_2025[[#ALL],[Категория]],$A105), "нет категории")</f>
        <v>10561.79775</v>
      </c>
      <c r="H105" s="62">
        <f>SUMIFS(Март_2025[[#ALL],[Площадь (м²)]],Март_2025[[#ALL],[Филиал ТЦ]],H$98,Март_2025[[#ALL],[Категория]],$A105)/SUMIFS(Март_2025[[#ALL],[Площадь (м²)]],Март_2025[[#ALL],[Филиал ТЦ]],H$98)</f>
        <v>0.1326145553</v>
      </c>
      <c r="I105" s="63">
        <f>IF(H105&gt;0, SUMIFS(Март_2025[[#ALL],[Выручка (руб/мес)]],Март_2025[[#ALL],[Филиал ТЦ]],H$98,Март_2025[[#ALL],[Категория]],$A105)/SUMIFS(Март_2025[[#ALL],[Продажи/мес]],Март_2025[[#ALL],[Филиал ТЦ]],H$98,Март_2025[[#ALL],[Категория]],$A105), "нет категории")</f>
        <v>91379.31034</v>
      </c>
      <c r="J105" s="64">
        <f>IF(H105&gt;0, SUMIFS(Март_2025[[#ALL],[Выручка (руб/мес)]],Март_2025[[#ALL],[Филиал ТЦ]],H$98,Март_2025[[#ALL],[Категория]],$A105)/SUMIFS(Март_2025[[#ALL],[Площадь (м²)]],Март_2025[[#ALL],[Филиал ТЦ]],H$98,Март_2025[[#ALL],[Категория]],$A105), "нет категории")</f>
        <v>10772.35772</v>
      </c>
      <c r="K105" s="62">
        <f>SUMIFS(Март_2025[[#ALL],[Площадь (м²)]],Март_2025[[#ALL],[Филиал ТЦ]],K$98,Март_2025[[#ALL],[Категория]],$A105)/SUMIFS(Март_2025[[#ALL],[Площадь (м²)]],Март_2025[[#ALL],[Филиал ТЦ]],K$98)</f>
        <v>0.09270386266</v>
      </c>
      <c r="L105" s="63">
        <f>IF(K105&gt;0, SUMIFS(Март_2025[[#ALL],[Выручка (руб/мес)]],Март_2025[[#ALL],[Филиал ТЦ]],K$98,Март_2025[[#ALL],[Категория]],$A105)/SUMIFS(Март_2025[[#ALL],[Продажи/мес]],Март_2025[[#ALL],[Филиал ТЦ]],K$98,Март_2025[[#ALL],[Категория]],$A105), "нет категории")</f>
        <v>151851.8519</v>
      </c>
      <c r="M105" s="64">
        <f>IF(K105&gt;0, SUMIFS(Март_2025[[#ALL],[Выручка (руб/мес)]],Март_2025[[#ALL],[Филиал ТЦ]],K$98,Март_2025[[#ALL],[Категория]],$A105)/SUMIFS(Март_2025[[#ALL],[Площадь (м²)]],Март_2025[[#ALL],[Филиал ТЦ]],K$98,Март_2025[[#ALL],[Категория]],$A105), "нет категории")</f>
        <v>18981.48148</v>
      </c>
    </row>
    <row r="106" ht="19.5" customHeight="1">
      <c r="A106" s="61" t="s">
        <v>121</v>
      </c>
      <c r="B106" s="62">
        <f>SUMIFS(Март_2025[[#ALL],[Площадь (м²)]],Март_2025[[#ALL],[Филиал ТЦ]],B$98,Март_2025[[#ALL],[Категория]],$A106)/SUMIFS(Март_2025[[#ALL],[Площадь (м²)]],Март_2025[[#ALL],[Филиал ТЦ]],B$98)</f>
        <v>0.02570694087</v>
      </c>
      <c r="C106" s="63">
        <f>IF(B106&gt;0, SUMIFS(Март_2025[[#ALL],[Выручка (руб/мес)]],Март_2025[[#ALL],[Филиал ТЦ]],B$98,Март_2025[[#ALL],[Категория]],$A106)/SUMIFS(Март_2025[[#ALL],[Продажи/мес]],Март_2025[[#ALL],[Филиал ТЦ]],B$98,Март_2025[[#ALL],[Категория]],$A106), "нет категории")</f>
        <v>83600</v>
      </c>
      <c r="D106" s="64">
        <f>IF(B106&gt;0, SUMIFS(Март_2025[[#ALL],[Выручка (руб/мес)]],Март_2025[[#ALL],[Филиал ТЦ]],B$98,Март_2025[[#ALL],[Категория]],$A106)/SUMIFS(Март_2025[[#ALL],[Площадь (м²)]],Март_2025[[#ALL],[Филиал ТЦ]],B$98,Март_2025[[#ALL],[Категория]],$A106), "нет категории")</f>
        <v>26125</v>
      </c>
      <c r="E106" s="62">
        <f>SUMIFS(Март_2025[[#ALL],[Площадь (м²)]],Март_2025[[#ALL],[Филиал ТЦ]],E$98,Март_2025[[#ALL],[Категория]],$A106)/SUMIFS(Март_2025[[#ALL],[Площадь (м²)]],Март_2025[[#ALL],[Филиал ТЦ]],E$98)</f>
        <v>0.08272058824</v>
      </c>
      <c r="F106" s="63">
        <f>IF(E106&gt;0, SUMIFS(Март_2025[[#ALL],[Выручка (руб/мес)]],Март_2025[[#ALL],[Филиал ТЦ]],E$98,Март_2025[[#ALL],[Категория]],$A106)/SUMIFS(Март_2025[[#ALL],[Продажи/мес]],Март_2025[[#ALL],[Филиал ТЦ]],E$98,Март_2025[[#ALL],[Категория]],$A106), "нет категории")</f>
        <v>384000</v>
      </c>
      <c r="G106" s="64">
        <f>IF(E106&gt;0,SUMIFS(Март_2025[[#ALL],[Выручка (руб/мес)]],Март_2025[[#ALL],[Филиал ТЦ]],E$98,Март_2025[[#ALL],[Категория]],$A106)/SUMIFS(Март_2025[[#ALL],[Площадь (м²)]],Март_2025[[#ALL],[Филиал ТЦ]],E$98,Март_2025[[#ALL],[Категория]],$A106), "нет категории")</f>
        <v>10666.66667</v>
      </c>
      <c r="H106" s="62">
        <f>SUMIFS(Март_2025[[#ALL],[Площадь (м²)]],Март_2025[[#ALL],[Филиал ТЦ]],H$98,Март_2025[[#ALL],[Категория]],$A106)/SUMIFS(Март_2025[[#ALL],[Площадь (м²)]],Март_2025[[#ALL],[Филиал ТЦ]],H$98)</f>
        <v>0.0539083558</v>
      </c>
      <c r="I106" s="63">
        <f>IF(H106&gt;0, SUMIFS(Март_2025[[#ALL],[Выручка (руб/мес)]],Март_2025[[#ALL],[Филиал ТЦ]],H$98,Март_2025[[#ALL],[Категория]],$A106)/SUMIFS(Март_2025[[#ALL],[Продажи/мес]],Март_2025[[#ALL],[Филиал ТЦ]],H$98,Март_2025[[#ALL],[Категория]],$A106), "нет категории")</f>
        <v>25500</v>
      </c>
      <c r="J106" s="64">
        <f>IF(H106&gt;0, SUMIFS(Март_2025[[#ALL],[Выручка (руб/мес)]],Март_2025[[#ALL],[Филиал ТЦ]],H$98,Март_2025[[#ALL],[Категория]],$A106)/SUMIFS(Март_2025[[#ALL],[Площадь (м²)]],Март_2025[[#ALL],[Филиал ТЦ]],H$98,Март_2025[[#ALL],[Категория]],$A106), "нет категории")</f>
        <v>17850</v>
      </c>
      <c r="K106" s="62">
        <f>SUMIFS(Март_2025[[#ALL],[Площадь (м²)]],Март_2025[[#ALL],[Филиал ТЦ]],K$98,Март_2025[[#ALL],[Категория]],$A106)/SUMIFS(Март_2025[[#ALL],[Площадь (м²)]],Март_2025[[#ALL],[Филиал ТЦ]],K$98)</f>
        <v>0.01931330472</v>
      </c>
      <c r="L106" s="63">
        <f>IF(K106&gt;0, SUMIFS(Март_2025[[#ALL],[Выручка (руб/мес)]],Март_2025[[#ALL],[Филиал ТЦ]],K$98,Март_2025[[#ALL],[Категория]],$A106)/SUMIFS(Март_2025[[#ALL],[Продажи/мес]],Март_2025[[#ALL],[Филиал ТЦ]],K$98,Март_2025[[#ALL],[Категория]],$A106), "нет категории")</f>
        <v>25846.15385</v>
      </c>
      <c r="M106" s="64">
        <f>IF(K106&gt;0, SUMIFS(Март_2025[[#ALL],[Выручка (руб/мес)]],Март_2025[[#ALL],[Филиал ТЦ]],K$98,Март_2025[[#ALL],[Категория]],$A106)/SUMIFS(Март_2025[[#ALL],[Площадь (м²)]],Март_2025[[#ALL],[Филиал ТЦ]],K$98,Март_2025[[#ALL],[Категория]],$A106), "нет категории")</f>
        <v>37333.33333</v>
      </c>
    </row>
    <row r="107" ht="19.5" customHeight="1">
      <c r="A107" s="61" t="s">
        <v>57</v>
      </c>
      <c r="B107" s="62">
        <f>SUMIFS(Март_2025[[#ALL],[Площадь (м²)]],Март_2025[[#ALL],[Филиал ТЦ]],B$98,Март_2025[[#ALL],[Категория]],$A107)/SUMIFS(Март_2025[[#ALL],[Площадь (м²)]],Март_2025[[#ALL],[Филиал ТЦ]],B$98)</f>
        <v>0.2538560411</v>
      </c>
      <c r="C107" s="63">
        <f>IF(B107&gt;0, SUMIFS(Март_2025[[#ALL],[Выручка (руб/мес)]],Март_2025[[#ALL],[Филиал ТЦ]],B$98,Март_2025[[#ALL],[Категория]],$A107)/SUMIFS(Март_2025[[#ALL],[Продажи/мес]],Март_2025[[#ALL],[Филиал ТЦ]],B$98,Март_2025[[#ALL],[Категория]],$A107), "нет категории")</f>
        <v>71200</v>
      </c>
      <c r="D107" s="64">
        <f>IF(B107&gt;0, SUMIFS(Март_2025[[#ALL],[Выручка (руб/мес)]],Март_2025[[#ALL],[Филиал ТЦ]],B$98,Март_2025[[#ALL],[Категория]],$A107)/SUMIFS(Март_2025[[#ALL],[Площадь (м²)]],Март_2025[[#ALL],[Филиал ТЦ]],B$98,Март_2025[[#ALL],[Категория]],$A107), "нет категории")</f>
        <v>11265.82278</v>
      </c>
      <c r="E107" s="62">
        <f>SUMIFS(Март_2025[[#ALL],[Площадь (м²)]],Март_2025[[#ALL],[Филиал ТЦ]],E$98,Март_2025[[#ALL],[Категория]],$A107)/SUMIFS(Март_2025[[#ALL],[Площадь (м²)]],Март_2025[[#ALL],[Филиал ТЦ]],E$98)</f>
        <v>0</v>
      </c>
      <c r="F107" s="63" t="str">
        <f>IF(E107&gt;0, SUMIFS(Март_2025[[#ALL],[Выручка (руб/мес)]],Март_2025[[#ALL],[Филиал ТЦ]],E$98,Март_2025[[#ALL],[Категория]],$A107)/SUMIFS(Март_2025[[#ALL],[Продажи/мес]],Март_2025[[#ALL],[Филиал ТЦ]],E$98,Март_2025[[#ALL],[Категория]],$A107), "нет категории")</f>
        <v>нет категории</v>
      </c>
      <c r="G107" s="64" t="str">
        <f>IF(E107&gt;0,SUMIFS(Март_2025[[#ALL],[Выручка (руб/мес)]],Март_2025[[#ALL],[Филиал ТЦ]],E$98,Март_2025[[#ALL],[Категория]],$A107)/SUMIFS(Март_2025[[#ALL],[Площадь (м²)]],Март_2025[[#ALL],[Филиал ТЦ]],E$98,Март_2025[[#ALL],[Категория]],$A107), "нет категории")</f>
        <v>нет категории</v>
      </c>
      <c r="H107" s="62">
        <f>SUMIFS(Март_2025[[#ALL],[Площадь (м²)]],Март_2025[[#ALL],[Филиал ТЦ]],H$98,Март_2025[[#ALL],[Категория]],$A107)/SUMIFS(Март_2025[[#ALL],[Площадь (м²)]],Март_2025[[#ALL],[Филиал ТЦ]],H$98)</f>
        <v>0</v>
      </c>
      <c r="I107" s="63" t="str">
        <f>IF(H107&gt;0, SUMIFS(Март_2025[[#ALL],[Выручка (руб/мес)]],Март_2025[[#ALL],[Филиал ТЦ]],H$98,Март_2025[[#ALL],[Категория]],$A107)/SUMIFS(Март_2025[[#ALL],[Продажи/мес]],Март_2025[[#ALL],[Филиал ТЦ]],H$98,Март_2025[[#ALL],[Категория]],$A107), "нет категории")</f>
        <v>нет категории</v>
      </c>
      <c r="J107" s="64" t="str">
        <f>IF(H107&gt;0, SUMIFS(Март_2025[[#ALL],[Выручка (руб/мес)]],Март_2025[[#ALL],[Филиал ТЦ]],H$98,Март_2025[[#ALL],[Категория]],$A107)/SUMIFS(Март_2025[[#ALL],[Площадь (м²)]],Март_2025[[#ALL],[Филиал ТЦ]],H$98,Март_2025[[#ALL],[Категория]],$A107), "нет категории")</f>
        <v>нет категории</v>
      </c>
      <c r="K107" s="62">
        <f>SUMIFS(Март_2025[[#ALL],[Площадь (м²)]],Март_2025[[#ALL],[Филиал ТЦ]],K$98,Март_2025[[#ALL],[Категория]],$A107)/SUMIFS(Март_2025[[#ALL],[Площадь (м²)]],Март_2025[[#ALL],[Филиал ТЦ]],K$98)</f>
        <v>0.05879828326</v>
      </c>
      <c r="L107" s="63">
        <f>IF(K107&gt;0, SUMIFS(Март_2025[[#ALL],[Выручка (руб/мес)]],Март_2025[[#ALL],[Филиал ТЦ]],K$98,Март_2025[[#ALL],[Категория]],$A107)/SUMIFS(Март_2025[[#ALL],[Продажи/мес]],Март_2025[[#ALL],[Филиал ТЦ]],K$98,Март_2025[[#ALL],[Категория]],$A107), "нет категории")</f>
        <v>36625</v>
      </c>
      <c r="M107" s="64">
        <f>IF(K107&gt;0, SUMIFS(Март_2025[[#ALL],[Выручка (руб/мес)]],Март_2025[[#ALL],[Филиал ТЦ]],K$98,Март_2025[[#ALL],[Категория]],$A107)/SUMIFS(Март_2025[[#ALL],[Площадь (м²)]],Март_2025[[#ALL],[Филиал ТЦ]],K$98,Март_2025[[#ALL],[Категория]],$A107), "нет категории")</f>
        <v>6416.058394</v>
      </c>
    </row>
    <row r="108" ht="19.5" customHeight="1">
      <c r="A108" s="61" t="s">
        <v>158</v>
      </c>
      <c r="B108" s="62">
        <f>SUMIFS(Март_2025[[#ALL],[Площадь (м²)]],Март_2025[[#ALL],[Филиал ТЦ]],B$98,Март_2025[[#ALL],[Категория]],$A108)/SUMIFS(Март_2025[[#ALL],[Площадь (м²)]],Март_2025[[#ALL],[Филиал ТЦ]],B$98)</f>
        <v>0.02892030848</v>
      </c>
      <c r="C108" s="63">
        <f>IF(B108&gt;0, SUMIFS(Март_2025[[#ALL],[Выручка (руб/мес)]],Март_2025[[#ALL],[Филиал ТЦ]],B$98,Март_2025[[#ALL],[Категория]],$A108)/SUMIFS(Март_2025[[#ALL],[Продажи/мес]],Март_2025[[#ALL],[Филиал ТЦ]],B$98,Март_2025[[#ALL],[Категория]],$A108), "нет категории")</f>
        <v>9130.434783</v>
      </c>
      <c r="D108" s="64">
        <f>IF(B108&gt;0, SUMIFS(Март_2025[[#ALL],[Выручка (руб/мес)]],Март_2025[[#ALL],[Филиал ТЦ]],B$98,Март_2025[[#ALL],[Категория]],$A108)/SUMIFS(Март_2025[[#ALL],[Площадь (м²)]],Март_2025[[#ALL],[Филиал ТЦ]],B$98,Март_2025[[#ALL],[Категория]],$A108), "нет категории")</f>
        <v>2333.333333</v>
      </c>
      <c r="E108" s="62">
        <f>SUMIFS(Март_2025[[#ALL],[Площадь (м²)]],Март_2025[[#ALL],[Филиал ТЦ]],E$98,Март_2025[[#ALL],[Категория]],$A108)/SUMIFS(Март_2025[[#ALL],[Площадь (м²)]],Март_2025[[#ALL],[Филиал ТЦ]],E$98)</f>
        <v>0.03676470588</v>
      </c>
      <c r="F108" s="63">
        <f>IF(E108&gt;0, SUMIFS(Март_2025[[#ALL],[Выручка (руб/мес)]],Март_2025[[#ALL],[Филиал ТЦ]],E$98,Март_2025[[#ALL],[Категория]],$A108)/SUMIFS(Март_2025[[#ALL],[Продажи/мес]],Март_2025[[#ALL],[Филиал ТЦ]],E$98,Март_2025[[#ALL],[Категория]],$A108), "нет категории")</f>
        <v>11111.11111</v>
      </c>
      <c r="G108" s="64">
        <f>IF(E108&gt;0,SUMIFS(Март_2025[[#ALL],[Выручка (руб/мес)]],Март_2025[[#ALL],[Филиал ТЦ]],E$98,Март_2025[[#ALL],[Категория]],$A108)/SUMIFS(Март_2025[[#ALL],[Площадь (м²)]],Март_2025[[#ALL],[Филиал ТЦ]],E$98,Март_2025[[#ALL],[Категория]],$A108), "нет категории")</f>
        <v>1250</v>
      </c>
      <c r="H108" s="62">
        <f>SUMIFS(Март_2025[[#ALL],[Площадь (м²)]],Март_2025[[#ALL],[Филиал ТЦ]],H$98,Март_2025[[#ALL],[Категория]],$A108)/SUMIFS(Март_2025[[#ALL],[Площадь (м²)]],Март_2025[[#ALL],[Филиал ТЦ]],H$98)</f>
        <v>0.03773584906</v>
      </c>
      <c r="I108" s="63">
        <f>IF(H108&gt;0, SUMIFS(Март_2025[[#ALL],[Выручка (руб/мес)]],Март_2025[[#ALL],[Филиал ТЦ]],H$98,Март_2025[[#ALL],[Категория]],$A108)/SUMIFS(Март_2025[[#ALL],[Продажи/мес]],Март_2025[[#ALL],[Филиал ТЦ]],H$98,Март_2025[[#ALL],[Категория]],$A108), "нет категории")</f>
        <v>8571.428571</v>
      </c>
      <c r="J108" s="64">
        <f>IF(H108&gt;0, SUMIFS(Март_2025[[#ALL],[Выручка (руб/мес)]],Март_2025[[#ALL],[Филиал ТЦ]],H$98,Март_2025[[#ALL],[Категория]],$A108)/SUMIFS(Март_2025[[#ALL],[Площадь (м²)]],Март_2025[[#ALL],[Филиал ТЦ]],H$98,Март_2025[[#ALL],[Категория]],$A108), "нет категории")</f>
        <v>1714.285714</v>
      </c>
      <c r="K108" s="62">
        <f>SUMIFS(Март_2025[[#ALL],[Площадь (м²)]],Март_2025[[#ALL],[Филиал ТЦ]],K$98,Март_2025[[#ALL],[Категория]],$A108)/SUMIFS(Март_2025[[#ALL],[Площадь (м²)]],Март_2025[[#ALL],[Филиал ТЦ]],K$98)</f>
        <v>0.02575107296</v>
      </c>
      <c r="L108" s="63">
        <f>IF(K108&gt;0, SUMIFS(Март_2025[[#ALL],[Выручка (руб/мес)]],Март_2025[[#ALL],[Филиал ТЦ]],K$98,Март_2025[[#ALL],[Категория]],$A108)/SUMIFS(Март_2025[[#ALL],[Продажи/мес]],Март_2025[[#ALL],[Филиал ТЦ]],K$98,Март_2025[[#ALL],[Категория]],$A108), "нет категории")</f>
        <v>28750</v>
      </c>
      <c r="M108" s="64">
        <f>IF(K108&gt;0, SUMIFS(Март_2025[[#ALL],[Выручка (руб/мес)]],Март_2025[[#ALL],[Филиал ТЦ]],K$98,Март_2025[[#ALL],[Категория]],$A108)/SUMIFS(Март_2025[[#ALL],[Площадь (м²)]],Март_2025[[#ALL],[Филиал ТЦ]],K$98,Март_2025[[#ALL],[Категория]],$A108), "нет категории")</f>
        <v>1916.666667</v>
      </c>
    </row>
    <row r="109" ht="19.5" customHeight="1">
      <c r="A109" s="61" t="s">
        <v>12</v>
      </c>
      <c r="B109" s="62">
        <f>SUMIFS(Март_2025[[#ALL],[Площадь (м²)]],Март_2025[[#ALL],[Филиал ТЦ]],B$98,Март_2025[[#ALL],[Категория]],$A109)/SUMIFS(Март_2025[[#ALL],[Площадь (м²)]],Март_2025[[#ALL],[Филиал ТЦ]],B$98)</f>
        <v>0.04820051414</v>
      </c>
      <c r="C109" s="63">
        <f>IF(B109&gt;0, SUMIFS(Март_2025[[#ALL],[Выручка (руб/мес)]],Март_2025[[#ALL],[Филиал ТЦ]],B$98,Март_2025[[#ALL],[Категория]],$A109)/SUMIFS(Март_2025[[#ALL],[Продажи/мес]],Март_2025[[#ALL],[Филиал ТЦ]],B$98,Март_2025[[#ALL],[Категория]],$A109), "нет категории")</f>
        <v>15937.5</v>
      </c>
      <c r="D109" s="64">
        <f>IF(B109&gt;0, SUMIFS(Март_2025[[#ALL],[Выручка (руб/мес)]],Март_2025[[#ALL],[Филиал ТЦ]],B$98,Март_2025[[#ALL],[Категория]],$A109)/SUMIFS(Март_2025[[#ALL],[Площадь (м²)]],Март_2025[[#ALL],[Филиал ТЦ]],B$98,Март_2025[[#ALL],[Категория]],$A109), "нет категории")</f>
        <v>8500</v>
      </c>
      <c r="E109" s="62">
        <f>SUMIFS(Март_2025[[#ALL],[Площадь (м²)]],Март_2025[[#ALL],[Филиал ТЦ]],E$98,Март_2025[[#ALL],[Категория]],$A109)/SUMIFS(Март_2025[[#ALL],[Площадь (м²)]],Март_2025[[#ALL],[Филиал ТЦ]],E$98)</f>
        <v>0.06433823529</v>
      </c>
      <c r="F109" s="63">
        <f>IF(E109&gt;0, SUMIFS(Март_2025[[#ALL],[Выручка (руб/мес)]],Март_2025[[#ALL],[Филиал ТЦ]],E$98,Март_2025[[#ALL],[Категория]],$A109)/SUMIFS(Март_2025[[#ALL],[Продажи/мес]],Март_2025[[#ALL],[Филиал ТЦ]],E$98,Март_2025[[#ALL],[Категория]],$A109), "нет категории")</f>
        <v>15845.07042</v>
      </c>
      <c r="G109" s="64">
        <f>IF(E109&gt;0,SUMIFS(Март_2025[[#ALL],[Выручка (руб/мес)]],Март_2025[[#ALL],[Филиал ТЦ]],E$98,Март_2025[[#ALL],[Категория]],$A109)/SUMIFS(Март_2025[[#ALL],[Площадь (м²)]],Март_2025[[#ALL],[Филиал ТЦ]],E$98,Март_2025[[#ALL],[Категория]],$A109), "нет категории")</f>
        <v>8035.714286</v>
      </c>
      <c r="H109" s="62">
        <f>SUMIFS(Март_2025[[#ALL],[Площадь (м²)]],Март_2025[[#ALL],[Филиал ТЦ]],H$98,Март_2025[[#ALL],[Категория]],$A109)/SUMIFS(Март_2025[[#ALL],[Площадь (м²)]],Март_2025[[#ALL],[Филиал ТЦ]],H$98)</f>
        <v>0.07008086253</v>
      </c>
      <c r="I109" s="63">
        <f>IF(H109&gt;0, SUMIFS(Март_2025[[#ALL],[Выручка (руб/мес)]],Март_2025[[#ALL],[Филиал ТЦ]],H$98,Март_2025[[#ALL],[Категория]],$A109)/SUMIFS(Март_2025[[#ALL],[Продажи/мес]],Март_2025[[#ALL],[Филиал ТЦ]],H$98,Март_2025[[#ALL],[Категория]],$A109), "нет категории")</f>
        <v>16250</v>
      </c>
      <c r="J109" s="64">
        <f>IF(H109&gt;0, SUMIFS(Март_2025[[#ALL],[Выручка (руб/мес)]],Март_2025[[#ALL],[Филиал ТЦ]],H$98,Март_2025[[#ALL],[Категория]],$A109)/SUMIFS(Март_2025[[#ALL],[Площадь (м²)]],Март_2025[[#ALL],[Филиал ТЦ]],H$98,Март_2025[[#ALL],[Категория]],$A109), "нет категории")</f>
        <v>7500</v>
      </c>
      <c r="K109" s="62">
        <f>SUMIFS(Март_2025[[#ALL],[Площадь (м²)]],Март_2025[[#ALL],[Филиал ТЦ]],K$98,Март_2025[[#ALL],[Категория]],$A109)/SUMIFS(Март_2025[[#ALL],[Площадь (м²)]],Март_2025[[#ALL],[Филиал ТЦ]],K$98)</f>
        <v>0.05150214592</v>
      </c>
      <c r="L109" s="63">
        <f>IF(K109&gt;0, SUMIFS(Март_2025[[#ALL],[Выручка (руб/мес)]],Март_2025[[#ALL],[Филиал ТЦ]],K$98,Март_2025[[#ALL],[Категория]],$A109)/SUMIFS(Март_2025[[#ALL],[Продажи/мес]],Март_2025[[#ALL],[Филиал ТЦ]],K$98,Март_2025[[#ALL],[Категория]],$A109), "нет категории")</f>
        <v>18333.33333</v>
      </c>
      <c r="M109" s="64">
        <f>IF(K109&gt;0, SUMIFS(Март_2025[[#ALL],[Выручка (руб/мес)]],Март_2025[[#ALL],[Филиал ТЦ]],K$98,Март_2025[[#ALL],[Категория]],$A109)/SUMIFS(Март_2025[[#ALL],[Площадь (м²)]],Март_2025[[#ALL],[Филиал ТЦ]],K$98,Март_2025[[#ALL],[Категория]],$A109), "нет категории")</f>
        <v>9166.666667</v>
      </c>
    </row>
    <row r="110" ht="19.5" customHeight="1">
      <c r="A110" s="61" t="s">
        <v>149</v>
      </c>
      <c r="B110" s="62">
        <f>SUMIFS(Март_2025[[#ALL],[Площадь (м²)]],Март_2025[[#ALL],[Филиал ТЦ]],B$98,Март_2025[[#ALL],[Категория]],$A110)/SUMIFS(Март_2025[[#ALL],[Площадь (м²)]],Март_2025[[#ALL],[Филиал ТЦ]],B$98)</f>
        <v>0.04177377892</v>
      </c>
      <c r="C110" s="63">
        <f>IF(B110&gt;0, SUMIFS(Март_2025[[#ALL],[Выручка (руб/мес)]],Март_2025[[#ALL],[Филиал ТЦ]],B$98,Март_2025[[#ALL],[Категория]],$A110)/SUMIFS(Март_2025[[#ALL],[Продажи/мес]],Март_2025[[#ALL],[Филиал ТЦ]],B$98,Март_2025[[#ALL],[Категория]],$A110), "нет категории")</f>
        <v>24266.66667</v>
      </c>
      <c r="D110" s="64">
        <f>IF(B110&gt;0, SUMIFS(Март_2025[[#ALL],[Выручка (руб/мес)]],Март_2025[[#ALL],[Филиал ТЦ]],B$98,Март_2025[[#ALL],[Категория]],$A110)/SUMIFS(Март_2025[[#ALL],[Площадь (м²)]],Март_2025[[#ALL],[Филиал ТЦ]],B$98,Март_2025[[#ALL],[Категория]],$A110), "нет категории")</f>
        <v>14000</v>
      </c>
      <c r="E110" s="62">
        <f>SUMIFS(Март_2025[[#ALL],[Площадь (м²)]],Март_2025[[#ALL],[Филиал ТЦ]],E$98,Март_2025[[#ALL],[Категория]],$A110)/SUMIFS(Март_2025[[#ALL],[Площадь (м²)]],Март_2025[[#ALL],[Филиал ТЦ]],E$98)</f>
        <v>0.05514705882</v>
      </c>
      <c r="F110" s="63">
        <f>IF(E110&gt;0, SUMIFS(Март_2025[[#ALL],[Выручка (руб/мес)]],Март_2025[[#ALL],[Филиал ТЦ]],E$98,Март_2025[[#ALL],[Категория]],$A110)/SUMIFS(Март_2025[[#ALL],[Продажи/мес]],Март_2025[[#ALL],[Филиал ТЦ]],E$98,Март_2025[[#ALL],[Категория]],$A110), "нет категории")</f>
        <v>247619.0476</v>
      </c>
      <c r="G110" s="64">
        <f>IF(E110&gt;0,SUMIFS(Март_2025[[#ALL],[Выручка (руб/мес)]],Март_2025[[#ALL],[Филиал ТЦ]],E$98,Март_2025[[#ALL],[Категория]],$A110)/SUMIFS(Март_2025[[#ALL],[Площадь (м²)]],Март_2025[[#ALL],[Филиал ТЦ]],E$98,Март_2025[[#ALL],[Категория]],$A110), "нет категории")</f>
        <v>130000</v>
      </c>
      <c r="H110" s="62">
        <f>SUMIFS(Март_2025[[#ALL],[Площадь (м²)]],Март_2025[[#ALL],[Филиал ТЦ]],H$98,Март_2025[[#ALL],[Категория]],$A110)/SUMIFS(Март_2025[[#ALL],[Площадь (м²)]],Март_2025[[#ALL],[Филиал ТЦ]],H$98)</f>
        <v>0.05929919137</v>
      </c>
      <c r="I110" s="63">
        <f>IF(H110&gt;0, SUMIFS(Март_2025[[#ALL],[Выручка (руб/мес)]],Март_2025[[#ALL],[Филиал ТЦ]],H$98,Март_2025[[#ALL],[Категория]],$A110)/SUMIFS(Март_2025[[#ALL],[Продажи/мес]],Март_2025[[#ALL],[Филиал ТЦ]],H$98,Март_2025[[#ALL],[Категория]],$A110), "нет категории")</f>
        <v>21290.32258</v>
      </c>
      <c r="J110" s="64">
        <f>IF(H110&gt;0, SUMIFS(Март_2025[[#ALL],[Выручка (руб/мес)]],Март_2025[[#ALL],[Филиал ТЦ]],H$98,Март_2025[[#ALL],[Категория]],$A110)/SUMIFS(Март_2025[[#ALL],[Площадь (м²)]],Март_2025[[#ALL],[Филиал ТЦ]],H$98,Март_2025[[#ALL],[Категория]],$A110), "нет категории")</f>
        <v>12000</v>
      </c>
      <c r="K110" s="62">
        <f>SUMIFS(Март_2025[[#ALL],[Площадь (м²)]],Март_2025[[#ALL],[Филиал ТЦ]],K$98,Март_2025[[#ALL],[Категория]],$A110)/SUMIFS(Март_2025[[#ALL],[Площадь (м²)]],Март_2025[[#ALL],[Филиал ТЦ]],K$98)</f>
        <v>0.04291845494</v>
      </c>
      <c r="L110" s="63">
        <f>IF(K110&gt;0, SUMIFS(Март_2025[[#ALL],[Выручка (руб/мес)]],Март_2025[[#ALL],[Филиал ТЦ]],K$98,Март_2025[[#ALL],[Категория]],$A110)/SUMIFS(Март_2025[[#ALL],[Продажи/мес]],Март_2025[[#ALL],[Филиал ТЦ]],K$98,Март_2025[[#ALL],[Категория]],$A110), "нет категории")</f>
        <v>24200</v>
      </c>
      <c r="M110" s="64">
        <f>IF(K110&gt;0, SUMIFS(Март_2025[[#ALL],[Выручка (руб/мес)]],Март_2025[[#ALL],[Филиал ТЦ]],K$98,Март_2025[[#ALL],[Категория]],$A110)/SUMIFS(Март_2025[[#ALL],[Площадь (м²)]],Март_2025[[#ALL],[Филиал ТЦ]],K$98,Март_2025[[#ALL],[Категория]],$A110), "нет категории")</f>
        <v>12100</v>
      </c>
    </row>
    <row r="111" ht="19.5" customHeight="1">
      <c r="A111" s="61" t="s">
        <v>137</v>
      </c>
      <c r="B111" s="62">
        <f>SUMIFS(Март_2025[[#ALL],[Площадь (м²)]],Март_2025[[#ALL],[Филиал ТЦ]],B$98,Март_2025[[#ALL],[Категория]],$A111)/SUMIFS(Март_2025[[#ALL],[Площадь (м²)]],Март_2025[[#ALL],[Филиал ТЦ]],B$98)</f>
        <v>0</v>
      </c>
      <c r="C111" s="63" t="str">
        <f>IF(B111&gt;0, SUMIFS(Март_2025[[#ALL],[Выручка (руб/мес)]],Март_2025[[#ALL],[Филиал ТЦ]],B$98,Март_2025[[#ALL],[Категория]],$A111)/SUMIFS(Март_2025[[#ALL],[Продажи/мес]],Март_2025[[#ALL],[Филиал ТЦ]],B$98,Март_2025[[#ALL],[Категория]],$A111), "нет категории")</f>
        <v>нет категории</v>
      </c>
      <c r="D111" s="64" t="str">
        <f>IF(B111&gt;0, SUMIFS(Март_2025[[#ALL],[Выручка (руб/мес)]],Март_2025[[#ALL],[Филиал ТЦ]],B$98,Март_2025[[#ALL],[Категория]],$A111)/SUMIFS(Март_2025[[#ALL],[Площадь (м²)]],Март_2025[[#ALL],[Филиал ТЦ]],B$98,Март_2025[[#ALL],[Категория]],$A111), "нет категории")</f>
        <v>нет категории</v>
      </c>
      <c r="E111" s="62">
        <f>SUMIFS(Март_2025[[#ALL],[Площадь (м²)]],Март_2025[[#ALL],[Филиал ТЦ]],E$98,Март_2025[[#ALL],[Категория]],$A111)/SUMIFS(Март_2025[[#ALL],[Площадь (м²)]],Март_2025[[#ALL],[Филиал ТЦ]],E$98)</f>
        <v>0</v>
      </c>
      <c r="F111" s="63" t="str">
        <f>IF(E111&gt;0, SUMIFS(Март_2025[[#ALL],[Выручка (руб/мес)]],Март_2025[[#ALL],[Филиал ТЦ]],E$98,Март_2025[[#ALL],[Категория]],$A111)/SUMIFS(Март_2025[[#ALL],[Продажи/мес]],Март_2025[[#ALL],[Филиал ТЦ]],E$98,Март_2025[[#ALL],[Категория]],$A111), "нет категории")</f>
        <v>нет категории</v>
      </c>
      <c r="G111" s="64" t="str">
        <f>IF(E111&gt;0,SUMIFS(Март_2025[[#ALL],[Выручка (руб/мес)]],Март_2025[[#ALL],[Филиал ТЦ]],E$98,Март_2025[[#ALL],[Категория]],$A111)/SUMIFS(Март_2025[[#ALL],[Площадь (м²)]],Март_2025[[#ALL],[Филиал ТЦ]],E$98,Март_2025[[#ALL],[Категория]],$A111), "нет категории")</f>
        <v>нет категории</v>
      </c>
      <c r="H111" s="62">
        <f>SUMIFS(Март_2025[[#ALL],[Площадь (м²)]],Март_2025[[#ALL],[Филиал ТЦ]],H$98,Март_2025[[#ALL],[Категория]],$A111)/SUMIFS(Март_2025[[#ALL],[Площадь (м²)]],Март_2025[[#ALL],[Филиал ТЦ]],H$98)</f>
        <v>0</v>
      </c>
      <c r="I111" s="63" t="str">
        <f>IF(H111&gt;0, SUMIFS(Март_2025[[#ALL],[Выручка (руб/мес)]],Март_2025[[#ALL],[Филиал ТЦ]],H$98,Март_2025[[#ALL],[Категория]],$A111)/SUMIFS(Март_2025[[#ALL],[Продажи/мес]],Март_2025[[#ALL],[Филиал ТЦ]],H$98,Март_2025[[#ALL],[Категория]],$A111), "нет категории")</f>
        <v>нет категории</v>
      </c>
      <c r="J111" s="64" t="str">
        <f>IF(H111&gt;0, SUMIFS(Март_2025[[#ALL],[Выручка (руб/мес)]],Март_2025[[#ALL],[Филиал ТЦ]],H$98,Март_2025[[#ALL],[Категория]],$A111)/SUMIFS(Март_2025[[#ALL],[Площадь (м²)]],Март_2025[[#ALL],[Филиал ТЦ]],H$98,Март_2025[[#ALL],[Категория]],$A111), "нет категории")</f>
        <v>нет категории</v>
      </c>
      <c r="K111" s="62">
        <f>SUMIFS(Март_2025[[#ALL],[Площадь (м²)]],Март_2025[[#ALL],[Филиал ТЦ]],K$98,Март_2025[[#ALL],[Категория]],$A111)/SUMIFS(Март_2025[[#ALL],[Площадь (м²)]],Март_2025[[#ALL],[Филиал ТЦ]],K$98)</f>
        <v>0.186695279</v>
      </c>
      <c r="L111" s="63" t="str">
        <f>IF(K111&gt;0, SUMIFS(Март_2025[[#ALL],[Выручка (руб/мес)]],Март_2025[[#ALL],[Филиал ТЦ]],K$98,Март_2025[[#ALL],[Категория]],$A111)/SUMIFS(Март_2025[[#ALL],[Продажи/мес]],Март_2025[[#ALL],[Филиал ТЦ]],K$98,Март_2025[[#ALL],[Категория]],$A111), "нет категории")</f>
        <v>#DIV/0!</v>
      </c>
      <c r="M111" s="64">
        <f>IF(K111&gt;0, SUMIFS(Март_2025[[#ALL],[Выручка (руб/мес)]],Март_2025[[#ALL],[Филиал ТЦ]],K$98,Март_2025[[#ALL],[Категория]],$A111)/SUMIFS(Март_2025[[#ALL],[Площадь (м²)]],Март_2025[[#ALL],[Филиал ТЦ]],K$98,Март_2025[[#ALL],[Категория]],$A111), "нет категории")</f>
        <v>0</v>
      </c>
    </row>
    <row r="112" ht="19.5" customHeight="1">
      <c r="A112" s="31"/>
      <c r="B112" s="31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</row>
    <row r="113">
      <c r="A113" s="31"/>
      <c r="B113" s="31"/>
      <c r="C113" s="28"/>
      <c r="D113" s="31"/>
      <c r="E113" s="28"/>
      <c r="F113" s="32"/>
      <c r="H113" s="28"/>
      <c r="I113" s="28"/>
      <c r="J113" s="28"/>
      <c r="K113" s="28"/>
      <c r="L113" s="28"/>
      <c r="M113" s="28"/>
    </row>
  </sheetData>
  <mergeCells count="4">
    <mergeCell ref="B98:D98"/>
    <mergeCell ref="E98:G98"/>
    <mergeCell ref="H98:J98"/>
    <mergeCell ref="K98:M98"/>
  </mergeCells>
  <conditionalFormatting sqref="C100:C111 F100:F111 I100:I111 L100:L111">
    <cfRule type="colorScale" priority="1">
      <colorScale>
        <cfvo type="min"/>
        <cfvo type="max"/>
        <color rgb="FFFFFFFF"/>
        <color rgb="FFCCCCCC"/>
      </colorScale>
    </cfRule>
  </conditionalFormatting>
  <conditionalFormatting sqref="C100:C111 F100:F111 I100:I111 L100:L111">
    <cfRule type="colorScale" priority="2">
      <colorScale>
        <cfvo type="min"/>
        <cfvo type="max"/>
        <color rgb="FFFFFFFF"/>
        <color rgb="FFCCCCCC"/>
      </colorScale>
    </cfRule>
  </conditionalFormatting>
  <conditionalFormatting sqref="I100:I111 L100:L111">
    <cfRule type="colorScale" priority="3">
      <colorScale>
        <cfvo type="min"/>
        <cfvo type="max"/>
        <color rgb="FFFFFFFF"/>
        <color rgb="FFD9D9D9"/>
      </colorScale>
    </cfRule>
  </conditionalFormatting>
  <conditionalFormatting sqref="L100:L111">
    <cfRule type="colorScale" priority="4">
      <colorScale>
        <cfvo type="min"/>
        <cfvo type="max"/>
        <color rgb="FFFFFFFF"/>
        <color rgb="FFD9D9D9"/>
      </colorScale>
    </cfRule>
  </conditionalFormatting>
  <conditionalFormatting sqref="D100:D111 G100:G111 J100:J111 M100:M111">
    <cfRule type="colorScale" priority="5">
      <colorScale>
        <cfvo type="min"/>
        <cfvo type="max"/>
        <color rgb="FFFFFFFF"/>
        <color rgb="FFD9EAD3"/>
      </colorScale>
    </cfRule>
  </conditionalFormatting>
  <conditionalFormatting sqref="D100:D111 G100:G112 J100:J111 M100:M111">
    <cfRule type="colorScale" priority="6">
      <colorScale>
        <cfvo type="min"/>
        <cfvo type="max"/>
        <color rgb="FFFFFFFF"/>
        <color rgb="FFD9EAD3"/>
      </colorScale>
    </cfRule>
  </conditionalFormatting>
  <conditionalFormatting sqref="J100:J111 M100:M111">
    <cfRule type="colorScale" priority="7">
      <colorScale>
        <cfvo type="min"/>
        <cfvo type="max"/>
        <color rgb="FFFFFFFF"/>
        <color rgb="FFD9EAD3"/>
      </colorScale>
    </cfRule>
  </conditionalFormatting>
  <conditionalFormatting sqref="M100:M111">
    <cfRule type="colorScale" priority="8">
      <colorScale>
        <cfvo type="min"/>
        <cfvo type="max"/>
        <color rgb="FFFFFFFF"/>
        <color rgb="FFD9EAD3"/>
      </colorScale>
    </cfRule>
  </conditionalFormatting>
  <conditionalFormatting sqref="B100:B111 K100:K111">
    <cfRule type="colorScale" priority="9">
      <colorScale>
        <cfvo type="min"/>
        <cfvo type="max"/>
        <color rgb="FFFFFFFF"/>
        <color rgb="FFD9E2F3"/>
      </colorScale>
    </cfRule>
  </conditionalFormatting>
  <conditionalFormatting sqref="E100:E111">
    <cfRule type="colorScale" priority="10">
      <colorScale>
        <cfvo type="min"/>
        <cfvo type="max"/>
        <color rgb="FFFFFFFF"/>
        <color rgb="FFD9E2F3"/>
      </colorScale>
    </cfRule>
  </conditionalFormatting>
  <conditionalFormatting sqref="H100:H111">
    <cfRule type="colorScale" priority="11">
      <colorScale>
        <cfvo type="min"/>
        <cfvo type="max"/>
        <color rgb="FFFFFFFF"/>
        <color rgb="FFD9E2F3"/>
      </colorScale>
    </cfRule>
  </conditionalFormatting>
  <conditionalFormatting sqref="K100:K111">
    <cfRule type="colorScale" priority="12">
      <colorScale>
        <cfvo type="min"/>
        <cfvo type="max"/>
        <color rgb="FFFFFFFF"/>
        <color rgb="FFD9E2F3"/>
      </colorScale>
    </cfRule>
  </conditionalFormatting>
  <dataValidations>
    <dataValidation type="list" allowBlank="1" sqref="A2:A80">
      <formula1>"Мебельный Плаза,Гранд Интерьер,Дом Будущего,Уютный Квартал"</formula1>
    </dataValidation>
    <dataValidation type="list" allowBlank="1" sqref="A91:A94">
      <formula1>"Мебельный Плаза,Гранд Интерьер,Дом Будущего,Уютный Квартал"</formula1>
    </dataValidation>
    <dataValidation type="list" allowBlank="1" sqref="D2:D80">
      <formula1>"Кухонная мебель,Мягкая мебель,Столы и стулья,Предметы интерьера,Детская мебель,Корпусная мебель,Офисная мебель,Кровати и матрасы,Уличная мебель,Двери,Техника,Пустой"</formula1>
    </dataValidation>
    <dataValidation type="custom" allowBlank="1" showDropDown="1" sqref="E2:I80 B91:B94 F91:I94">
      <formula1>AND(ISNUMBER(B2),(NOT(OR(NOT(ISERROR(DATEVALUE(B2))), AND(ISNUMBER(B2), LEFT(CELL("format", B2))="D")))))</formula1>
    </dataValidation>
  </dataValidations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43"/>
    <col customWidth="1" min="2" max="2" width="18.57"/>
    <col customWidth="1" min="3" max="3" width="21.0"/>
    <col customWidth="1" min="4" max="4" width="24.29"/>
    <col customWidth="1" min="5" max="5" width="17.0"/>
    <col customWidth="1" min="6" max="6" width="20.0"/>
    <col customWidth="1" min="7" max="7" width="19.0"/>
    <col customWidth="1" min="8" max="8" width="22.14"/>
    <col customWidth="1" min="9" max="9" width="22.71"/>
    <col customWidth="1" min="10" max="10" width="18.71"/>
    <col customWidth="1" min="11" max="11" width="14.86"/>
    <col customWidth="1" min="12" max="12" width="16.57"/>
    <col customWidth="1" min="13" max="13" width="17.14"/>
  </cols>
  <sheetData>
    <row r="1">
      <c r="A1" s="1" t="s">
        <v>0</v>
      </c>
      <c r="B1" s="1" t="s">
        <v>1</v>
      </c>
      <c r="C1" s="1" t="s">
        <v>178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s">
        <v>10</v>
      </c>
      <c r="C2" s="3" t="s">
        <v>11</v>
      </c>
      <c r="D2" s="4" t="s">
        <v>12</v>
      </c>
      <c r="E2" s="5">
        <v>401.0</v>
      </c>
      <c r="F2" s="5">
        <v>140.0</v>
      </c>
      <c r="G2" s="5">
        <v>74.0</v>
      </c>
      <c r="H2" s="6">
        <v>1125000.0</v>
      </c>
      <c r="I2" s="7">
        <v>20000.0</v>
      </c>
    </row>
    <row r="3">
      <c r="A3" s="2" t="s">
        <v>13</v>
      </c>
      <c r="B3" s="3" t="s">
        <v>14</v>
      </c>
      <c r="C3" s="3" t="s">
        <v>15</v>
      </c>
      <c r="D3" s="4" t="s">
        <v>12</v>
      </c>
      <c r="E3" s="5">
        <v>102.0</v>
      </c>
      <c r="F3" s="5">
        <v>130.0</v>
      </c>
      <c r="G3" s="5">
        <v>59.0</v>
      </c>
      <c r="H3" s="6">
        <v>975000.0</v>
      </c>
      <c r="I3" s="7">
        <v>0.0</v>
      </c>
    </row>
    <row r="4">
      <c r="A4" s="2" t="s">
        <v>16</v>
      </c>
      <c r="B4" s="3" t="s">
        <v>17</v>
      </c>
      <c r="C4" s="3" t="s">
        <v>18</v>
      </c>
      <c r="D4" s="4" t="s">
        <v>12</v>
      </c>
      <c r="E4" s="5">
        <v>201.0</v>
      </c>
      <c r="F4" s="5">
        <v>150.0</v>
      </c>
      <c r="G4" s="5">
        <v>80.0</v>
      </c>
      <c r="H4" s="6">
        <v>1275000.0</v>
      </c>
      <c r="I4" s="7">
        <v>0.0</v>
      </c>
    </row>
    <row r="5">
      <c r="A5" s="2" t="s">
        <v>19</v>
      </c>
      <c r="B5" s="3" t="s">
        <v>20</v>
      </c>
      <c r="C5" s="3" t="s">
        <v>21</v>
      </c>
      <c r="D5" s="4" t="s">
        <v>12</v>
      </c>
      <c r="E5" s="5">
        <v>319.0</v>
      </c>
      <c r="F5" s="5">
        <v>120.0</v>
      </c>
      <c r="G5" s="5">
        <v>54.0</v>
      </c>
      <c r="H5" s="6">
        <v>900000.0</v>
      </c>
      <c r="I5" s="7">
        <v>0.0</v>
      </c>
    </row>
    <row r="6">
      <c r="A6" s="2" t="s">
        <v>9</v>
      </c>
      <c r="B6" s="3" t="s">
        <v>22</v>
      </c>
      <c r="C6" s="3" t="s">
        <v>23</v>
      </c>
      <c r="D6" s="4" t="s">
        <v>24</v>
      </c>
      <c r="E6" s="5">
        <v>403.0</v>
      </c>
      <c r="F6" s="5">
        <v>130.0</v>
      </c>
      <c r="G6" s="5">
        <v>60.0</v>
      </c>
      <c r="H6" s="6">
        <v>1040000.0</v>
      </c>
      <c r="I6" s="7">
        <v>60000.0</v>
      </c>
    </row>
    <row r="7">
      <c r="A7" s="8" t="s">
        <v>9</v>
      </c>
      <c r="B7" s="3" t="s">
        <v>25</v>
      </c>
      <c r="C7" s="9" t="s">
        <v>26</v>
      </c>
      <c r="D7" s="10" t="s">
        <v>24</v>
      </c>
      <c r="E7" s="5">
        <v>405.0</v>
      </c>
      <c r="F7" s="11">
        <v>50.0</v>
      </c>
      <c r="G7" s="11">
        <v>4.0</v>
      </c>
      <c r="H7" s="12">
        <v>760000.0</v>
      </c>
      <c r="I7" s="13">
        <v>0.0</v>
      </c>
    </row>
    <row r="8">
      <c r="A8" s="2" t="s">
        <v>13</v>
      </c>
      <c r="B8" s="3" t="s">
        <v>27</v>
      </c>
      <c r="C8" s="3" t="s">
        <v>28</v>
      </c>
      <c r="D8" s="4" t="s">
        <v>24</v>
      </c>
      <c r="E8" s="5">
        <v>104.0</v>
      </c>
      <c r="F8" s="5">
        <v>96.0</v>
      </c>
      <c r="G8" s="5">
        <v>13.0</v>
      </c>
      <c r="H8" s="6">
        <v>990000.0</v>
      </c>
      <c r="I8" s="7">
        <v>30000.0</v>
      </c>
    </row>
    <row r="9">
      <c r="A9" s="14" t="s">
        <v>13</v>
      </c>
      <c r="B9" s="3" t="s">
        <v>29</v>
      </c>
      <c r="C9" s="9" t="s">
        <v>30</v>
      </c>
      <c r="D9" s="10" t="s">
        <v>24</v>
      </c>
      <c r="E9" s="5">
        <v>106.0</v>
      </c>
      <c r="F9" s="11">
        <v>53.0</v>
      </c>
      <c r="G9" s="11">
        <v>4.0</v>
      </c>
      <c r="H9" s="12">
        <v>630000.0</v>
      </c>
      <c r="I9" s="13">
        <v>0.0</v>
      </c>
    </row>
    <row r="10">
      <c r="A10" s="2" t="s">
        <v>16</v>
      </c>
      <c r="B10" s="3" t="s">
        <v>31</v>
      </c>
      <c r="C10" s="3" t="s">
        <v>26</v>
      </c>
      <c r="D10" s="4" t="s">
        <v>24</v>
      </c>
      <c r="E10" s="5">
        <v>202.0</v>
      </c>
      <c r="F10" s="5">
        <v>140.0</v>
      </c>
      <c r="G10" s="5">
        <v>10.0</v>
      </c>
      <c r="H10" s="6">
        <v>1190000.0</v>
      </c>
      <c r="I10" s="7">
        <v>0.0</v>
      </c>
    </row>
    <row r="11">
      <c r="A11" s="15" t="s">
        <v>16</v>
      </c>
      <c r="B11" s="3" t="s">
        <v>32</v>
      </c>
      <c r="C11" s="16" t="s">
        <v>33</v>
      </c>
      <c r="D11" s="10" t="s">
        <v>24</v>
      </c>
      <c r="E11" s="5">
        <v>203.0</v>
      </c>
      <c r="F11" s="11">
        <v>91.0</v>
      </c>
      <c r="G11" s="11">
        <v>26.0</v>
      </c>
      <c r="H11" s="12">
        <v>1500000.0</v>
      </c>
      <c r="I11" s="13">
        <v>0.0</v>
      </c>
    </row>
    <row r="12">
      <c r="A12" s="17" t="s">
        <v>19</v>
      </c>
      <c r="B12" s="3" t="s">
        <v>36</v>
      </c>
      <c r="C12" s="9" t="s">
        <v>37</v>
      </c>
      <c r="D12" s="10" t="s">
        <v>24</v>
      </c>
      <c r="E12" s="5">
        <v>317.0</v>
      </c>
      <c r="F12" s="11">
        <v>42.0</v>
      </c>
      <c r="G12" s="11">
        <v>3.0</v>
      </c>
      <c r="H12" s="12">
        <v>560000.0</v>
      </c>
      <c r="I12" s="13">
        <v>0.0</v>
      </c>
    </row>
    <row r="13">
      <c r="A13" s="2" t="s">
        <v>19</v>
      </c>
      <c r="B13" s="3" t="s">
        <v>34</v>
      </c>
      <c r="C13" s="3" t="s">
        <v>35</v>
      </c>
      <c r="D13" s="4" t="s">
        <v>24</v>
      </c>
      <c r="E13" s="5">
        <v>318.0</v>
      </c>
      <c r="F13" s="5">
        <v>110.0</v>
      </c>
      <c r="G13" s="5">
        <v>50.0</v>
      </c>
      <c r="H13" s="6">
        <v>900000.0</v>
      </c>
      <c r="I13" s="7">
        <v>0.0</v>
      </c>
    </row>
    <row r="14">
      <c r="A14" s="2" t="s">
        <v>9</v>
      </c>
      <c r="B14" s="3" t="s">
        <v>38</v>
      </c>
      <c r="C14" s="3" t="s">
        <v>39</v>
      </c>
      <c r="D14" s="4" t="s">
        <v>40</v>
      </c>
      <c r="E14" s="5">
        <v>419.0</v>
      </c>
      <c r="F14" s="5">
        <v>190.0</v>
      </c>
      <c r="G14" s="5">
        <v>45.0</v>
      </c>
      <c r="H14" s="6">
        <v>2415000.0</v>
      </c>
      <c r="I14" s="7">
        <v>0.0</v>
      </c>
    </row>
    <row r="15">
      <c r="A15" s="2" t="s">
        <v>9</v>
      </c>
      <c r="B15" s="3" t="s">
        <v>41</v>
      </c>
      <c r="C15" s="3" t="s">
        <v>42</v>
      </c>
      <c r="D15" s="4" t="s">
        <v>40</v>
      </c>
      <c r="E15" s="5">
        <v>430.0</v>
      </c>
      <c r="F15" s="5">
        <v>255.0</v>
      </c>
      <c r="G15" s="5">
        <v>35.0</v>
      </c>
      <c r="H15" s="6">
        <v>2500000.0</v>
      </c>
      <c r="I15" s="7">
        <v>24670.0</v>
      </c>
    </row>
    <row r="16">
      <c r="A16" s="2" t="s">
        <v>13</v>
      </c>
      <c r="B16" s="3" t="s">
        <v>43</v>
      </c>
      <c r="C16" s="3" t="s">
        <v>44</v>
      </c>
      <c r="D16" s="4" t="s">
        <v>40</v>
      </c>
      <c r="E16" s="5">
        <v>120.0</v>
      </c>
      <c r="F16" s="5">
        <v>180.0</v>
      </c>
      <c r="G16" s="5">
        <v>23.0</v>
      </c>
      <c r="H16" s="6">
        <v>1800000.0</v>
      </c>
      <c r="I16" s="7">
        <v>120000.0</v>
      </c>
    </row>
    <row r="17">
      <c r="A17" s="2" t="s">
        <v>13</v>
      </c>
      <c r="B17" s="3" t="s">
        <v>45</v>
      </c>
      <c r="C17" s="16" t="s">
        <v>46</v>
      </c>
      <c r="D17" s="4" t="s">
        <v>40</v>
      </c>
      <c r="E17" s="5">
        <v>135.0</v>
      </c>
      <c r="F17" s="5">
        <v>66.0</v>
      </c>
      <c r="G17" s="5">
        <v>6.0</v>
      </c>
      <c r="H17" s="6">
        <v>540000.0</v>
      </c>
      <c r="I17" s="7">
        <v>120180.0</v>
      </c>
    </row>
    <row r="18">
      <c r="A18" s="2" t="s">
        <v>16</v>
      </c>
      <c r="B18" s="3" t="s">
        <v>47</v>
      </c>
      <c r="C18" s="3" t="s">
        <v>48</v>
      </c>
      <c r="D18" s="4" t="s">
        <v>40</v>
      </c>
      <c r="E18" s="5">
        <v>210.0</v>
      </c>
      <c r="F18" s="5">
        <v>200.0</v>
      </c>
      <c r="G18" s="5">
        <v>34.0</v>
      </c>
      <c r="H18" s="6">
        <v>2400000.0</v>
      </c>
      <c r="I18" s="7">
        <v>0.0</v>
      </c>
    </row>
    <row r="19">
      <c r="A19" s="2" t="s">
        <v>16</v>
      </c>
      <c r="B19" s="3" t="s">
        <v>49</v>
      </c>
      <c r="C19" s="16" t="s">
        <v>50</v>
      </c>
      <c r="D19" s="4" t="s">
        <v>40</v>
      </c>
      <c r="E19" s="5">
        <v>220.0</v>
      </c>
      <c r="F19" s="5">
        <v>96.0</v>
      </c>
      <c r="G19" s="5">
        <v>18.0</v>
      </c>
      <c r="H19" s="6">
        <v>1800000.0</v>
      </c>
      <c r="I19" s="7">
        <v>18460.0</v>
      </c>
    </row>
    <row r="20">
      <c r="A20" s="2" t="s">
        <v>19</v>
      </c>
      <c r="B20" s="3" t="s">
        <v>51</v>
      </c>
      <c r="C20" s="3" t="s">
        <v>52</v>
      </c>
      <c r="D20" s="4" t="s">
        <v>40</v>
      </c>
      <c r="E20" s="5">
        <v>310.0</v>
      </c>
      <c r="F20" s="5">
        <v>170.0</v>
      </c>
      <c r="G20" s="5">
        <v>16.0</v>
      </c>
      <c r="H20" s="6">
        <v>2465000.0</v>
      </c>
      <c r="I20" s="7">
        <v>0.0</v>
      </c>
    </row>
    <row r="21">
      <c r="A21" s="2" t="s">
        <v>19</v>
      </c>
      <c r="B21" s="3" t="s">
        <v>53</v>
      </c>
      <c r="C21" s="16" t="s">
        <v>54</v>
      </c>
      <c r="D21" s="4" t="s">
        <v>40</v>
      </c>
      <c r="E21" s="5">
        <v>434.0</v>
      </c>
      <c r="F21" s="5">
        <v>46.0</v>
      </c>
      <c r="G21" s="5">
        <v>11.0</v>
      </c>
      <c r="H21" s="6">
        <v>1500000.0</v>
      </c>
      <c r="I21" s="7">
        <v>11900.0</v>
      </c>
    </row>
    <row r="22">
      <c r="A22" s="2" t="s">
        <v>16</v>
      </c>
      <c r="B22" s="3" t="s">
        <v>55</v>
      </c>
      <c r="C22" s="3" t="s">
        <v>56</v>
      </c>
      <c r="D22" s="4" t="s">
        <v>57</v>
      </c>
      <c r="E22" s="5">
        <v>204.0</v>
      </c>
      <c r="F22" s="5">
        <v>170.0</v>
      </c>
      <c r="G22" s="5">
        <v>80.0</v>
      </c>
      <c r="H22" s="6">
        <v>1360000.0</v>
      </c>
      <c r="I22" s="7">
        <v>0.0</v>
      </c>
    </row>
    <row r="23">
      <c r="A23" s="2" t="s">
        <v>16</v>
      </c>
      <c r="B23" s="3" t="s">
        <v>58</v>
      </c>
      <c r="C23" s="16" t="s">
        <v>59</v>
      </c>
      <c r="D23" s="4" t="s">
        <v>57</v>
      </c>
      <c r="E23" s="5">
        <v>205.0</v>
      </c>
      <c r="F23" s="5">
        <v>620.0</v>
      </c>
      <c r="G23" s="5">
        <v>47.0</v>
      </c>
      <c r="H23" s="6">
        <v>7500000.0</v>
      </c>
      <c r="I23" s="7">
        <v>0.0</v>
      </c>
    </row>
    <row r="24">
      <c r="A24" s="2" t="s">
        <v>19</v>
      </c>
      <c r="B24" s="3" t="s">
        <v>62</v>
      </c>
      <c r="C24" s="16" t="s">
        <v>59</v>
      </c>
      <c r="D24" s="4" t="s">
        <v>57</v>
      </c>
      <c r="E24" s="5">
        <v>315.0</v>
      </c>
      <c r="F24" s="5">
        <v>45.0</v>
      </c>
      <c r="G24" s="5">
        <v>14.0</v>
      </c>
      <c r="H24" s="6">
        <v>475000.0</v>
      </c>
      <c r="I24" s="7">
        <v>0.0</v>
      </c>
    </row>
    <row r="25">
      <c r="A25" s="2" t="s">
        <v>19</v>
      </c>
      <c r="B25" s="3" t="s">
        <v>60</v>
      </c>
      <c r="C25" s="3" t="s">
        <v>61</v>
      </c>
      <c r="D25" s="4" t="s">
        <v>57</v>
      </c>
      <c r="E25" s="5">
        <v>316.0</v>
      </c>
      <c r="F25" s="5">
        <v>92.0</v>
      </c>
      <c r="G25" s="5">
        <v>9.0</v>
      </c>
      <c r="H25" s="6">
        <v>319000.0</v>
      </c>
      <c r="I25" s="7">
        <v>0.0</v>
      </c>
    </row>
    <row r="26">
      <c r="A26" s="2" t="s">
        <v>9</v>
      </c>
      <c r="B26" s="3" t="s">
        <v>63</v>
      </c>
      <c r="C26" s="3" t="s">
        <v>64</v>
      </c>
      <c r="D26" s="4" t="s">
        <v>65</v>
      </c>
      <c r="E26" s="5">
        <v>431.0</v>
      </c>
      <c r="F26" s="5">
        <v>170.0</v>
      </c>
      <c r="G26" s="5">
        <v>27.0</v>
      </c>
      <c r="H26" s="6">
        <v>3700500.0</v>
      </c>
      <c r="I26" s="7">
        <v>0.0</v>
      </c>
    </row>
    <row r="27">
      <c r="A27" s="2" t="s">
        <v>9</v>
      </c>
      <c r="B27" s="3" t="s">
        <v>66</v>
      </c>
      <c r="C27" s="16" t="s">
        <v>67</v>
      </c>
      <c r="D27" s="4" t="s">
        <v>65</v>
      </c>
      <c r="E27" s="5">
        <v>433.0</v>
      </c>
      <c r="F27" s="18">
        <v>66.0</v>
      </c>
      <c r="G27" s="18">
        <v>1.0</v>
      </c>
      <c r="H27" s="19">
        <v>890000.0</v>
      </c>
      <c r="I27" s="20">
        <v>50000.0</v>
      </c>
    </row>
    <row r="28">
      <c r="A28" s="2" t="s">
        <v>9</v>
      </c>
      <c r="B28" s="3" t="s">
        <v>68</v>
      </c>
      <c r="C28" s="16" t="s">
        <v>69</v>
      </c>
      <c r="D28" s="4" t="s">
        <v>65</v>
      </c>
      <c r="E28" s="5">
        <v>435.0</v>
      </c>
      <c r="F28" s="18">
        <v>80.0</v>
      </c>
      <c r="G28" s="18">
        <v>2.0</v>
      </c>
      <c r="H28" s="19">
        <v>353000.0</v>
      </c>
      <c r="I28" s="20">
        <v>0.0</v>
      </c>
    </row>
    <row r="29">
      <c r="A29" s="2" t="s">
        <v>9</v>
      </c>
      <c r="B29" s="3" t="s">
        <v>70</v>
      </c>
      <c r="C29" s="16" t="s">
        <v>71</v>
      </c>
      <c r="D29" s="4" t="s">
        <v>65</v>
      </c>
      <c r="E29" s="5">
        <v>437.0</v>
      </c>
      <c r="F29" s="18">
        <v>45.0</v>
      </c>
      <c r="G29" s="18">
        <v>2.0</v>
      </c>
      <c r="H29" s="19">
        <v>75000.0</v>
      </c>
      <c r="I29" s="20">
        <v>45000.0</v>
      </c>
    </row>
    <row r="30">
      <c r="A30" s="2" t="s">
        <v>13</v>
      </c>
      <c r="B30" s="3" t="s">
        <v>72</v>
      </c>
      <c r="C30" s="3" t="s">
        <v>67</v>
      </c>
      <c r="D30" s="4" t="s">
        <v>65</v>
      </c>
      <c r="E30" s="5">
        <v>132.0</v>
      </c>
      <c r="F30" s="5">
        <v>160.0</v>
      </c>
      <c r="G30" s="5">
        <v>15.0</v>
      </c>
      <c r="H30" s="6">
        <v>2040000.0</v>
      </c>
      <c r="I30" s="7">
        <v>0.0</v>
      </c>
    </row>
    <row r="31">
      <c r="A31" s="2" t="s">
        <v>13</v>
      </c>
      <c r="B31" s="3" t="s">
        <v>73</v>
      </c>
      <c r="C31" s="16" t="s">
        <v>74</v>
      </c>
      <c r="D31" s="4" t="s">
        <v>65</v>
      </c>
      <c r="E31" s="5">
        <v>134.0</v>
      </c>
      <c r="F31" s="18">
        <v>15.0</v>
      </c>
      <c r="G31" s="18">
        <v>4.0</v>
      </c>
      <c r="H31" s="19">
        <v>90000.0</v>
      </c>
      <c r="I31" s="20">
        <v>0.0</v>
      </c>
    </row>
    <row r="32">
      <c r="A32" s="2" t="s">
        <v>13</v>
      </c>
      <c r="B32" s="3" t="s">
        <v>75</v>
      </c>
      <c r="C32" s="16" t="s">
        <v>67</v>
      </c>
      <c r="D32" s="4" t="s">
        <v>65</v>
      </c>
      <c r="E32" s="5">
        <v>136.0</v>
      </c>
      <c r="F32" s="18">
        <v>80.0</v>
      </c>
      <c r="G32" s="18">
        <v>9.0</v>
      </c>
      <c r="H32" s="19">
        <v>1350000.0</v>
      </c>
      <c r="I32" s="20">
        <v>0.0</v>
      </c>
    </row>
    <row r="33">
      <c r="A33" s="2" t="s">
        <v>13</v>
      </c>
      <c r="B33" s="3" t="s">
        <v>76</v>
      </c>
      <c r="C33" s="3" t="s">
        <v>77</v>
      </c>
      <c r="D33" s="4" t="s">
        <v>65</v>
      </c>
      <c r="E33" s="5">
        <v>138.0</v>
      </c>
      <c r="F33" s="18">
        <v>65.0</v>
      </c>
      <c r="G33" s="18">
        <v>1.0</v>
      </c>
      <c r="H33" s="19">
        <v>3000000.0</v>
      </c>
      <c r="I33" s="20">
        <v>0.0</v>
      </c>
    </row>
    <row r="34">
      <c r="A34" s="2" t="s">
        <v>16</v>
      </c>
      <c r="B34" s="3" t="s">
        <v>78</v>
      </c>
      <c r="C34" s="3" t="s">
        <v>79</v>
      </c>
      <c r="D34" s="4" t="s">
        <v>65</v>
      </c>
      <c r="E34" s="5">
        <v>216.0</v>
      </c>
      <c r="F34" s="5">
        <v>180.0</v>
      </c>
      <c r="G34" s="5">
        <v>31.0</v>
      </c>
      <c r="H34" s="6">
        <v>3420000.0</v>
      </c>
      <c r="I34" s="7">
        <v>150000.0</v>
      </c>
    </row>
    <row r="35">
      <c r="A35" s="2" t="s">
        <v>16</v>
      </c>
      <c r="B35" s="3" t="s">
        <v>80</v>
      </c>
      <c r="C35" s="3" t="s">
        <v>81</v>
      </c>
      <c r="D35" s="4" t="s">
        <v>65</v>
      </c>
      <c r="E35" s="5">
        <v>217.0</v>
      </c>
      <c r="F35" s="18">
        <v>90.0</v>
      </c>
      <c r="G35" s="18">
        <v>4.0</v>
      </c>
      <c r="H35" s="19">
        <v>2400000.0</v>
      </c>
      <c r="I35" s="20">
        <v>0.0</v>
      </c>
    </row>
    <row r="36">
      <c r="A36" s="2" t="s">
        <v>16</v>
      </c>
      <c r="B36" s="3" t="s">
        <v>82</v>
      </c>
      <c r="C36" s="3" t="s">
        <v>77</v>
      </c>
      <c r="D36" s="4" t="s">
        <v>65</v>
      </c>
      <c r="E36" s="5">
        <v>218.0</v>
      </c>
      <c r="F36" s="18">
        <v>90.0</v>
      </c>
      <c r="G36" s="18">
        <v>6.0</v>
      </c>
      <c r="H36" s="19">
        <v>380000.0</v>
      </c>
      <c r="I36" s="20">
        <v>5000.0</v>
      </c>
    </row>
    <row r="37">
      <c r="A37" s="2" t="s">
        <v>16</v>
      </c>
      <c r="B37" s="3" t="s">
        <v>83</v>
      </c>
      <c r="C37" s="3" t="s">
        <v>84</v>
      </c>
      <c r="D37" s="4" t="s">
        <v>65</v>
      </c>
      <c r="E37" s="5">
        <v>219.0</v>
      </c>
      <c r="F37" s="18">
        <v>90.0</v>
      </c>
      <c r="G37" s="18">
        <v>2.0</v>
      </c>
      <c r="H37" s="19">
        <v>1750000.0</v>
      </c>
      <c r="I37" s="20">
        <v>50000.0</v>
      </c>
    </row>
    <row r="38">
      <c r="A38" s="2" t="s">
        <v>19</v>
      </c>
      <c r="B38" s="3" t="s">
        <v>90</v>
      </c>
      <c r="C38" s="3" t="s">
        <v>81</v>
      </c>
      <c r="D38" s="4" t="s">
        <v>65</v>
      </c>
      <c r="E38" s="5">
        <v>301.0</v>
      </c>
      <c r="F38" s="18">
        <v>60.0</v>
      </c>
      <c r="G38" s="18">
        <v>7.0</v>
      </c>
      <c r="H38" s="19">
        <v>900000.0</v>
      </c>
      <c r="I38" s="20">
        <v>0.0</v>
      </c>
    </row>
    <row r="39">
      <c r="A39" s="2" t="s">
        <v>19</v>
      </c>
      <c r="B39" s="3" t="s">
        <v>88</v>
      </c>
      <c r="C39" s="16" t="s">
        <v>89</v>
      </c>
      <c r="D39" s="4" t="s">
        <v>65</v>
      </c>
      <c r="E39" s="5">
        <v>302.0</v>
      </c>
      <c r="F39" s="18">
        <v>90.0</v>
      </c>
      <c r="G39" s="18">
        <v>19.0</v>
      </c>
      <c r="H39" s="19">
        <v>4200000.0</v>
      </c>
      <c r="I39" s="20">
        <v>0.0</v>
      </c>
    </row>
    <row r="40">
      <c r="A40" s="2" t="s">
        <v>19</v>
      </c>
      <c r="B40" s="3" t="s">
        <v>87</v>
      </c>
      <c r="C40" s="16" t="s">
        <v>69</v>
      </c>
      <c r="D40" s="4" t="s">
        <v>65</v>
      </c>
      <c r="E40" s="5">
        <v>303.0</v>
      </c>
      <c r="F40" s="18">
        <v>40.0</v>
      </c>
      <c r="G40" s="18">
        <v>1.0</v>
      </c>
      <c r="H40" s="19">
        <v>2100000.0</v>
      </c>
      <c r="I40" s="20">
        <v>300000.0</v>
      </c>
    </row>
    <row r="41">
      <c r="A41" s="2" t="s">
        <v>19</v>
      </c>
      <c r="B41" s="3" t="s">
        <v>85</v>
      </c>
      <c r="C41" s="3" t="s">
        <v>86</v>
      </c>
      <c r="D41" s="4" t="s">
        <v>65</v>
      </c>
      <c r="E41" s="5">
        <v>304.0</v>
      </c>
      <c r="F41" s="5">
        <v>150.0</v>
      </c>
      <c r="G41" s="5">
        <v>20.0</v>
      </c>
      <c r="H41" s="6">
        <v>1800000.0</v>
      </c>
      <c r="I41" s="7">
        <v>90000.0</v>
      </c>
    </row>
    <row r="42">
      <c r="A42" s="2" t="s">
        <v>9</v>
      </c>
      <c r="B42" s="3" t="s">
        <v>91</v>
      </c>
      <c r="C42" s="3" t="s">
        <v>92</v>
      </c>
      <c r="D42" s="4" t="s">
        <v>93</v>
      </c>
      <c r="E42" s="5">
        <v>411.0</v>
      </c>
      <c r="F42" s="5">
        <v>210.0</v>
      </c>
      <c r="G42" s="5">
        <v>49.0</v>
      </c>
      <c r="H42" s="6">
        <v>2100000.0</v>
      </c>
      <c r="I42" s="7">
        <v>0.0</v>
      </c>
    </row>
    <row r="43">
      <c r="A43" s="2" t="s">
        <v>9</v>
      </c>
      <c r="B43" s="3" t="s">
        <v>94</v>
      </c>
      <c r="C43" s="16" t="s">
        <v>95</v>
      </c>
      <c r="D43" s="4" t="s">
        <v>93</v>
      </c>
      <c r="E43" s="5">
        <v>413.0</v>
      </c>
      <c r="F43" s="5">
        <v>70.0</v>
      </c>
      <c r="G43" s="5">
        <v>15.0</v>
      </c>
      <c r="H43" s="6">
        <v>750000.0</v>
      </c>
      <c r="I43" s="7">
        <v>0.0</v>
      </c>
    </row>
    <row r="44">
      <c r="A44" s="2" t="s">
        <v>9</v>
      </c>
      <c r="B44" s="3" t="s">
        <v>96</v>
      </c>
      <c r="C44" s="16" t="s">
        <v>97</v>
      </c>
      <c r="D44" s="4" t="s">
        <v>93</v>
      </c>
      <c r="E44" s="5">
        <v>415.0</v>
      </c>
      <c r="F44" s="5">
        <v>70.0</v>
      </c>
      <c r="G44" s="5">
        <v>6.0</v>
      </c>
      <c r="H44" s="6">
        <v>5100000.0</v>
      </c>
      <c r="I44" s="7">
        <v>400000.0</v>
      </c>
    </row>
    <row r="45">
      <c r="A45" s="2" t="s">
        <v>9</v>
      </c>
      <c r="B45" s="3" t="s">
        <v>98</v>
      </c>
      <c r="C45" s="16" t="s">
        <v>99</v>
      </c>
      <c r="D45" s="4" t="s">
        <v>93</v>
      </c>
      <c r="E45" s="5">
        <v>417.0</v>
      </c>
      <c r="F45" s="5">
        <v>70.0</v>
      </c>
      <c r="G45" s="5">
        <v>6.0</v>
      </c>
      <c r="H45" s="6">
        <v>600000.0</v>
      </c>
      <c r="I45" s="7">
        <v>50000.0</v>
      </c>
    </row>
    <row r="46">
      <c r="A46" s="2" t="s">
        <v>13</v>
      </c>
      <c r="B46" s="3" t="s">
        <v>100</v>
      </c>
      <c r="C46" s="3" t="s">
        <v>101</v>
      </c>
      <c r="D46" s="4" t="s">
        <v>93</v>
      </c>
      <c r="E46" s="5">
        <v>112.0</v>
      </c>
      <c r="F46" s="5">
        <v>200.0</v>
      </c>
      <c r="G46" s="5">
        <v>95.0</v>
      </c>
      <c r="H46" s="6">
        <v>3420000.0</v>
      </c>
      <c r="I46" s="7">
        <v>200000.0</v>
      </c>
    </row>
    <row r="47">
      <c r="A47" s="2" t="s">
        <v>13</v>
      </c>
      <c r="B47" s="3" t="s">
        <v>102</v>
      </c>
      <c r="C47" s="16" t="s">
        <v>99</v>
      </c>
      <c r="D47" s="4" t="s">
        <v>93</v>
      </c>
      <c r="E47" s="5">
        <v>114.0</v>
      </c>
      <c r="F47" s="5">
        <v>50.0</v>
      </c>
      <c r="G47" s="5">
        <v>8.0</v>
      </c>
      <c r="H47" s="6">
        <v>710000.0</v>
      </c>
      <c r="I47" s="7">
        <v>0.0</v>
      </c>
    </row>
    <row r="48">
      <c r="A48" s="2" t="s">
        <v>13</v>
      </c>
      <c r="B48" s="3" t="s">
        <v>103</v>
      </c>
      <c r="C48" s="16" t="s">
        <v>104</v>
      </c>
      <c r="D48" s="4" t="s">
        <v>93</v>
      </c>
      <c r="E48" s="5">
        <v>116.0</v>
      </c>
      <c r="F48" s="5">
        <v>150.0</v>
      </c>
      <c r="G48" s="5">
        <v>2.0</v>
      </c>
      <c r="H48" s="6">
        <v>1500000.0</v>
      </c>
      <c r="I48" s="7">
        <v>0.0</v>
      </c>
    </row>
    <row r="49">
      <c r="A49" s="2" t="s">
        <v>13</v>
      </c>
      <c r="B49" s="3" t="s">
        <v>105</v>
      </c>
      <c r="C49" s="16" t="s">
        <v>106</v>
      </c>
      <c r="D49" s="4" t="s">
        <v>93</v>
      </c>
      <c r="E49" s="5">
        <v>118.0</v>
      </c>
      <c r="F49" s="5">
        <v>100.0</v>
      </c>
      <c r="G49" s="5">
        <v>28.0</v>
      </c>
      <c r="H49" s="6">
        <v>1850000.0</v>
      </c>
      <c r="I49" s="7">
        <v>0.0</v>
      </c>
    </row>
    <row r="50">
      <c r="A50" s="2" t="s">
        <v>16</v>
      </c>
      <c r="B50" s="3" t="s">
        <v>107</v>
      </c>
      <c r="C50" s="3" t="s">
        <v>108</v>
      </c>
      <c r="D50" s="4" t="s">
        <v>93</v>
      </c>
      <c r="E50" s="5">
        <v>206.0</v>
      </c>
      <c r="F50" s="5">
        <v>220.0</v>
      </c>
      <c r="G50" s="5">
        <v>94.0</v>
      </c>
      <c r="H50" s="6">
        <v>2900000.0</v>
      </c>
      <c r="I50" s="7">
        <v>0.0</v>
      </c>
    </row>
    <row r="51">
      <c r="A51" s="2" t="s">
        <v>16</v>
      </c>
      <c r="B51" s="3" t="s">
        <v>109</v>
      </c>
      <c r="C51" s="16" t="s">
        <v>97</v>
      </c>
      <c r="D51" s="4" t="s">
        <v>93</v>
      </c>
      <c r="E51" s="5">
        <v>207.0</v>
      </c>
      <c r="F51" s="5">
        <v>250.0</v>
      </c>
      <c r="G51" s="5">
        <v>4.0</v>
      </c>
      <c r="H51" s="6">
        <v>4000000.0</v>
      </c>
      <c r="I51" s="7">
        <v>300000.0</v>
      </c>
    </row>
    <row r="52">
      <c r="A52" s="2" t="s">
        <v>16</v>
      </c>
      <c r="B52" s="3" t="s">
        <v>110</v>
      </c>
      <c r="C52" s="3" t="s">
        <v>111</v>
      </c>
      <c r="D52" s="4" t="s">
        <v>93</v>
      </c>
      <c r="E52" s="5">
        <v>208.0</v>
      </c>
      <c r="F52" s="5">
        <v>45.0</v>
      </c>
      <c r="G52" s="5">
        <v>15.0</v>
      </c>
      <c r="H52" s="6">
        <v>1000000.0</v>
      </c>
      <c r="I52" s="7">
        <v>0.0</v>
      </c>
    </row>
    <row r="53">
      <c r="A53" s="2" t="s">
        <v>16</v>
      </c>
      <c r="B53" s="3" t="s">
        <v>112</v>
      </c>
      <c r="C53" s="16" t="s">
        <v>113</v>
      </c>
      <c r="D53" s="4" t="s">
        <v>93</v>
      </c>
      <c r="E53" s="5">
        <v>209.0</v>
      </c>
      <c r="F53" s="5">
        <v>110.0</v>
      </c>
      <c r="G53" s="5">
        <v>12.0</v>
      </c>
      <c r="H53" s="6">
        <v>760000.0</v>
      </c>
      <c r="I53" s="7">
        <v>24000.0</v>
      </c>
    </row>
    <row r="54">
      <c r="A54" s="2" t="s">
        <v>19</v>
      </c>
      <c r="B54" s="3" t="s">
        <v>118</v>
      </c>
      <c r="C54" s="16" t="s">
        <v>95</v>
      </c>
      <c r="D54" s="4" t="s">
        <v>93</v>
      </c>
      <c r="E54" s="5">
        <v>311.0</v>
      </c>
      <c r="F54" s="5">
        <v>65.0</v>
      </c>
      <c r="G54" s="5">
        <v>10.0</v>
      </c>
      <c r="H54" s="6">
        <v>500000.0</v>
      </c>
      <c r="I54" s="7">
        <v>0.0</v>
      </c>
    </row>
    <row r="55">
      <c r="A55" s="2" t="s">
        <v>19</v>
      </c>
      <c r="B55" s="3" t="s">
        <v>117</v>
      </c>
      <c r="C55" s="16" t="s">
        <v>106</v>
      </c>
      <c r="D55" s="4" t="s">
        <v>93</v>
      </c>
      <c r="E55" s="5">
        <v>312.0</v>
      </c>
      <c r="F55" s="5">
        <v>90.0</v>
      </c>
      <c r="G55" s="5">
        <v>36.0</v>
      </c>
      <c r="H55" s="6">
        <v>2300000.0</v>
      </c>
      <c r="I55" s="7">
        <v>0.0</v>
      </c>
    </row>
    <row r="56">
      <c r="A56" s="2" t="s">
        <v>19</v>
      </c>
      <c r="B56" s="3" t="s">
        <v>116</v>
      </c>
      <c r="C56" s="16" t="s">
        <v>104</v>
      </c>
      <c r="D56" s="4" t="s">
        <v>93</v>
      </c>
      <c r="E56" s="5">
        <v>313.0</v>
      </c>
      <c r="F56" s="5">
        <v>120.0</v>
      </c>
      <c r="G56" s="5">
        <v>0.0</v>
      </c>
      <c r="H56" s="6">
        <v>0.0</v>
      </c>
      <c r="I56" s="7">
        <v>0.0</v>
      </c>
    </row>
    <row r="57">
      <c r="A57" s="2" t="s">
        <v>19</v>
      </c>
      <c r="B57" s="3" t="s">
        <v>114</v>
      </c>
      <c r="C57" s="3" t="s">
        <v>115</v>
      </c>
      <c r="D57" s="4" t="s">
        <v>93</v>
      </c>
      <c r="E57" s="5">
        <v>314.0</v>
      </c>
      <c r="F57" s="5">
        <v>190.0</v>
      </c>
      <c r="G57" s="5">
        <v>78.0</v>
      </c>
      <c r="H57" s="6">
        <v>2590000.0</v>
      </c>
      <c r="I57" s="7">
        <v>0.0</v>
      </c>
    </row>
    <row r="58">
      <c r="A58" s="2" t="s">
        <v>9</v>
      </c>
      <c r="B58" s="3" t="s">
        <v>119</v>
      </c>
      <c r="C58" s="3" t="s">
        <v>120</v>
      </c>
      <c r="D58" s="4" t="s">
        <v>121</v>
      </c>
      <c r="E58" s="5">
        <v>425.0</v>
      </c>
      <c r="F58" s="5">
        <v>180.0</v>
      </c>
      <c r="G58" s="5">
        <v>4.0</v>
      </c>
      <c r="H58" s="6">
        <v>1920000.0</v>
      </c>
      <c r="I58" s="7">
        <v>0.0</v>
      </c>
    </row>
    <row r="59">
      <c r="A59" s="2" t="s">
        <v>13</v>
      </c>
      <c r="B59" s="3" t="s">
        <v>122</v>
      </c>
      <c r="C59" s="3" t="s">
        <v>123</v>
      </c>
      <c r="D59" s="4" t="s">
        <v>121</v>
      </c>
      <c r="E59" s="5">
        <v>126.0</v>
      </c>
      <c r="F59" s="5">
        <v>100.0</v>
      </c>
      <c r="G59" s="5">
        <v>60.0</v>
      </c>
      <c r="H59" s="6">
        <v>1785000.0</v>
      </c>
      <c r="I59" s="7">
        <v>0.0</v>
      </c>
    </row>
    <row r="60">
      <c r="A60" s="2" t="s">
        <v>16</v>
      </c>
      <c r="B60" s="3" t="s">
        <v>124</v>
      </c>
      <c r="C60" s="3" t="s">
        <v>125</v>
      </c>
      <c r="D60" s="4" t="s">
        <v>121</v>
      </c>
      <c r="E60" s="5">
        <v>213.0</v>
      </c>
      <c r="F60" s="5">
        <v>80.0</v>
      </c>
      <c r="G60" s="5">
        <v>24.0</v>
      </c>
      <c r="H60" s="6">
        <v>2090000.0</v>
      </c>
      <c r="I60" s="7">
        <v>100000.0</v>
      </c>
    </row>
    <row r="61">
      <c r="A61" s="2" t="s">
        <v>19</v>
      </c>
      <c r="B61" s="3" t="s">
        <v>126</v>
      </c>
      <c r="C61" s="3" t="s">
        <v>127</v>
      </c>
      <c r="D61" s="4" t="s">
        <v>121</v>
      </c>
      <c r="E61" s="5">
        <v>307.0</v>
      </c>
      <c r="F61" s="5">
        <v>45.0</v>
      </c>
      <c r="G61" s="5">
        <v>70.0</v>
      </c>
      <c r="H61" s="6">
        <v>1680000.0</v>
      </c>
      <c r="I61" s="7">
        <v>70000.0</v>
      </c>
    </row>
    <row r="62">
      <c r="A62" s="2" t="s">
        <v>9</v>
      </c>
      <c r="B62" s="3" t="s">
        <v>128</v>
      </c>
      <c r="C62" s="3" t="s">
        <v>129</v>
      </c>
      <c r="D62" s="4" t="s">
        <v>130</v>
      </c>
      <c r="E62" s="5">
        <v>423.0</v>
      </c>
      <c r="F62" s="5">
        <v>100.0</v>
      </c>
      <c r="G62" s="5">
        <v>44.0</v>
      </c>
      <c r="H62" s="6">
        <v>495000.0</v>
      </c>
      <c r="I62" s="7">
        <v>0.0</v>
      </c>
    </row>
    <row r="63">
      <c r="A63" s="2" t="s">
        <v>13</v>
      </c>
      <c r="B63" s="3" t="s">
        <v>131</v>
      </c>
      <c r="C63" s="3" t="s">
        <v>132</v>
      </c>
      <c r="D63" s="4" t="s">
        <v>130</v>
      </c>
      <c r="E63" s="5">
        <v>124.0</v>
      </c>
      <c r="F63" s="5">
        <v>90.0</v>
      </c>
      <c r="G63" s="5">
        <v>39.0</v>
      </c>
      <c r="H63" s="6">
        <v>440000.0</v>
      </c>
      <c r="I63" s="7">
        <v>0.0</v>
      </c>
    </row>
    <row r="64">
      <c r="A64" s="2" t="s">
        <v>16</v>
      </c>
      <c r="B64" s="3" t="s">
        <v>133</v>
      </c>
      <c r="C64" s="3" t="s">
        <v>134</v>
      </c>
      <c r="D64" s="4" t="s">
        <v>130</v>
      </c>
      <c r="E64" s="5">
        <v>212.0</v>
      </c>
      <c r="F64" s="5">
        <v>110.0</v>
      </c>
      <c r="G64" s="5">
        <v>51.0</v>
      </c>
      <c r="H64" s="6">
        <v>550000.0</v>
      </c>
      <c r="I64" s="7">
        <v>0.0</v>
      </c>
    </row>
    <row r="65">
      <c r="A65" s="2" t="s">
        <v>19</v>
      </c>
      <c r="B65" s="3" t="s">
        <v>135</v>
      </c>
      <c r="C65" s="3" t="s">
        <v>136</v>
      </c>
      <c r="D65" s="4" t="s">
        <v>130</v>
      </c>
      <c r="E65" s="5">
        <v>308.0</v>
      </c>
      <c r="F65" s="5">
        <v>80.0</v>
      </c>
      <c r="G65" s="5">
        <v>34.0</v>
      </c>
      <c r="H65" s="6">
        <v>385000.0</v>
      </c>
      <c r="I65" s="7">
        <v>0.0</v>
      </c>
    </row>
    <row r="66">
      <c r="A66" s="2" t="s">
        <v>19</v>
      </c>
      <c r="B66" s="3"/>
      <c r="C66" s="3"/>
      <c r="D66" s="4" t="s">
        <v>137</v>
      </c>
      <c r="E66" s="5">
        <v>320.0</v>
      </c>
      <c r="F66" s="18">
        <v>360.0</v>
      </c>
      <c r="G66" s="18"/>
      <c r="H66" s="19"/>
      <c r="I66" s="20"/>
    </row>
    <row r="67">
      <c r="A67" s="2" t="s">
        <v>19</v>
      </c>
      <c r="B67" s="3"/>
      <c r="C67" s="3"/>
      <c r="D67" s="4" t="s">
        <v>137</v>
      </c>
      <c r="E67" s="5">
        <v>322.0</v>
      </c>
      <c r="F67" s="18">
        <v>75.0</v>
      </c>
      <c r="G67" s="18"/>
      <c r="H67" s="19"/>
      <c r="I67" s="20"/>
    </row>
    <row r="68">
      <c r="A68" s="2" t="s">
        <v>9</v>
      </c>
      <c r="B68" s="3" t="s">
        <v>138</v>
      </c>
      <c r="C68" s="3" t="s">
        <v>139</v>
      </c>
      <c r="D68" s="4" t="s">
        <v>140</v>
      </c>
      <c r="E68" s="5">
        <v>427.0</v>
      </c>
      <c r="F68" s="5">
        <v>150.0</v>
      </c>
      <c r="G68" s="5">
        <v>80.0</v>
      </c>
      <c r="H68" s="6">
        <v>1200000.0</v>
      </c>
      <c r="I68" s="7">
        <v>10000.0</v>
      </c>
    </row>
    <row r="69">
      <c r="A69" s="2" t="s">
        <v>13</v>
      </c>
      <c r="B69" s="3" t="s">
        <v>141</v>
      </c>
      <c r="C69" s="3" t="s">
        <v>142</v>
      </c>
      <c r="D69" s="4" t="s">
        <v>140</v>
      </c>
      <c r="E69" s="5">
        <v>128.0</v>
      </c>
      <c r="F69" s="5">
        <v>140.0</v>
      </c>
      <c r="G69" s="5">
        <v>65.0</v>
      </c>
      <c r="H69" s="6">
        <v>1050000.0</v>
      </c>
      <c r="I69" s="7">
        <v>0.0</v>
      </c>
    </row>
    <row r="70">
      <c r="A70" s="2" t="s">
        <v>16</v>
      </c>
      <c r="B70" s="3" t="s">
        <v>143</v>
      </c>
      <c r="C70" s="3" t="s">
        <v>144</v>
      </c>
      <c r="D70" s="4" t="s">
        <v>140</v>
      </c>
      <c r="E70" s="5">
        <v>214.0</v>
      </c>
      <c r="F70" s="5">
        <v>160.0</v>
      </c>
      <c r="G70" s="5">
        <v>75.0</v>
      </c>
      <c r="H70" s="6">
        <v>1200000.0</v>
      </c>
      <c r="I70" s="7">
        <v>50000.0</v>
      </c>
    </row>
    <row r="71">
      <c r="A71" s="2" t="s">
        <v>19</v>
      </c>
      <c r="B71" s="3" t="s">
        <v>145</v>
      </c>
      <c r="C71" s="3" t="s">
        <v>146</v>
      </c>
      <c r="D71" s="4" t="s">
        <v>140</v>
      </c>
      <c r="E71" s="5">
        <v>306.0</v>
      </c>
      <c r="F71" s="5">
        <v>130.0</v>
      </c>
      <c r="G71" s="5">
        <v>65.0</v>
      </c>
      <c r="H71" s="6">
        <v>975000.0</v>
      </c>
      <c r="I71" s="7">
        <v>40000.0</v>
      </c>
    </row>
    <row r="72">
      <c r="A72" s="2" t="s">
        <v>19</v>
      </c>
      <c r="B72" s="3" t="s">
        <v>180</v>
      </c>
      <c r="C72" s="3" t="s">
        <v>179</v>
      </c>
      <c r="D72" s="4" t="s">
        <v>140</v>
      </c>
      <c r="E72" s="5">
        <v>321.0</v>
      </c>
      <c r="F72" s="18">
        <v>50.0</v>
      </c>
      <c r="G72" s="18">
        <v>29.0</v>
      </c>
      <c r="H72" s="19">
        <v>75000.0</v>
      </c>
      <c r="I72" s="20"/>
    </row>
    <row r="73">
      <c r="A73" s="2" t="s">
        <v>9</v>
      </c>
      <c r="B73" s="3" t="s">
        <v>147</v>
      </c>
      <c r="C73" s="3" t="s">
        <v>148</v>
      </c>
      <c r="D73" s="4" t="s">
        <v>149</v>
      </c>
      <c r="E73" s="5">
        <v>429.0</v>
      </c>
      <c r="F73" s="5">
        <v>120.0</v>
      </c>
      <c r="G73" s="5">
        <v>70.0</v>
      </c>
      <c r="H73" s="6">
        <v>1.56E7</v>
      </c>
      <c r="I73" s="7">
        <v>0.0</v>
      </c>
    </row>
    <row r="74">
      <c r="A74" s="2" t="s">
        <v>13</v>
      </c>
      <c r="B74" s="3" t="s">
        <v>150</v>
      </c>
      <c r="C74" s="3" t="s">
        <v>151</v>
      </c>
      <c r="D74" s="4" t="s">
        <v>149</v>
      </c>
      <c r="E74" s="5">
        <v>130.0</v>
      </c>
      <c r="F74" s="5">
        <v>110.0</v>
      </c>
      <c r="G74" s="5">
        <v>54.0</v>
      </c>
      <c r="H74" s="6">
        <v>1320000.0</v>
      </c>
      <c r="I74" s="7">
        <v>0.0</v>
      </c>
    </row>
    <row r="75">
      <c r="A75" s="2" t="s">
        <v>16</v>
      </c>
      <c r="B75" s="3" t="s">
        <v>152</v>
      </c>
      <c r="C75" s="3" t="s">
        <v>153</v>
      </c>
      <c r="D75" s="4" t="s">
        <v>149</v>
      </c>
      <c r="E75" s="5">
        <v>215.0</v>
      </c>
      <c r="F75" s="5">
        <v>130.0</v>
      </c>
      <c r="G75" s="5">
        <v>70.0</v>
      </c>
      <c r="H75" s="6">
        <v>1820000.0</v>
      </c>
      <c r="I75" s="7">
        <v>0.0</v>
      </c>
    </row>
    <row r="76">
      <c r="A76" s="2" t="s">
        <v>19</v>
      </c>
      <c r="B76" s="3" t="s">
        <v>154</v>
      </c>
      <c r="C76" s="3" t="s">
        <v>155</v>
      </c>
      <c r="D76" s="4" t="s">
        <v>149</v>
      </c>
      <c r="E76" s="5">
        <v>305.0</v>
      </c>
      <c r="F76" s="5">
        <v>100.0</v>
      </c>
      <c r="G76" s="5">
        <v>55.0</v>
      </c>
      <c r="H76" s="6">
        <v>1210000.0</v>
      </c>
      <c r="I76" s="7">
        <v>0.0</v>
      </c>
    </row>
    <row r="77">
      <c r="A77" s="2" t="s">
        <v>9</v>
      </c>
      <c r="B77" s="3" t="s">
        <v>156</v>
      </c>
      <c r="C77" s="3" t="s">
        <v>157</v>
      </c>
      <c r="D77" s="4" t="s">
        <v>158</v>
      </c>
      <c r="E77" s="5">
        <v>421.0</v>
      </c>
      <c r="F77" s="5">
        <v>80.0</v>
      </c>
      <c r="G77" s="5">
        <v>21.0</v>
      </c>
      <c r="H77" s="6">
        <v>250000.0</v>
      </c>
      <c r="I77" s="7">
        <v>0.0</v>
      </c>
    </row>
    <row r="78">
      <c r="A78" s="2" t="s">
        <v>13</v>
      </c>
      <c r="B78" s="3" t="s">
        <v>159</v>
      </c>
      <c r="C78" s="3" t="s">
        <v>160</v>
      </c>
      <c r="D78" s="4" t="s">
        <v>158</v>
      </c>
      <c r="E78" s="5">
        <v>122.0</v>
      </c>
      <c r="F78" s="5">
        <v>70.0</v>
      </c>
      <c r="G78" s="5">
        <v>23.0</v>
      </c>
      <c r="H78" s="6">
        <v>195000.0</v>
      </c>
      <c r="I78" s="7">
        <v>0.0</v>
      </c>
    </row>
    <row r="79">
      <c r="A79" s="2" t="s">
        <v>16</v>
      </c>
      <c r="B79" s="3" t="s">
        <v>161</v>
      </c>
      <c r="C79" s="3" t="s">
        <v>162</v>
      </c>
      <c r="D79" s="4" t="s">
        <v>158</v>
      </c>
      <c r="E79" s="5">
        <v>211.0</v>
      </c>
      <c r="F79" s="5">
        <v>90.0</v>
      </c>
      <c r="G79" s="5">
        <v>25.0</v>
      </c>
      <c r="H79" s="6">
        <v>300000.0</v>
      </c>
      <c r="I79" s="7">
        <v>0.0</v>
      </c>
    </row>
    <row r="80">
      <c r="A80" s="21" t="s">
        <v>19</v>
      </c>
      <c r="B80" s="22" t="s">
        <v>163</v>
      </c>
      <c r="C80" s="22" t="s">
        <v>164</v>
      </c>
      <c r="D80" s="23" t="s">
        <v>158</v>
      </c>
      <c r="E80" s="24">
        <v>309.0</v>
      </c>
      <c r="F80" s="25">
        <v>60.0</v>
      </c>
      <c r="G80" s="25">
        <v>10.0</v>
      </c>
      <c r="H80" s="26">
        <v>200000.0</v>
      </c>
      <c r="I80" s="27">
        <v>0.0</v>
      </c>
    </row>
    <row r="81">
      <c r="A81" s="28"/>
      <c r="B81" s="28"/>
      <c r="C81" s="28"/>
      <c r="D81" s="28"/>
      <c r="E81" s="28"/>
      <c r="F81" s="29"/>
      <c r="G81" s="29"/>
      <c r="H81" s="28"/>
      <c r="I81" s="28"/>
      <c r="J81" s="28"/>
      <c r="K81" s="28"/>
      <c r="L81" s="28"/>
      <c r="M81" s="28"/>
    </row>
    <row r="82">
      <c r="A82" s="28"/>
      <c r="B82" s="28"/>
      <c r="C82" s="28"/>
      <c r="D82" s="28"/>
      <c r="E82" s="28"/>
      <c r="F82" s="29"/>
      <c r="G82" s="29"/>
      <c r="H82" s="28"/>
      <c r="I82" s="30"/>
      <c r="J82" s="30"/>
      <c r="K82" s="30"/>
      <c r="L82" s="30"/>
      <c r="M82" s="30"/>
    </row>
    <row r="83">
      <c r="A83" s="28"/>
      <c r="B83" s="28"/>
      <c r="C83" s="28"/>
      <c r="D83" s="28"/>
      <c r="E83" s="28"/>
      <c r="F83" s="29"/>
      <c r="G83" s="29"/>
      <c r="H83" s="28"/>
      <c r="I83" s="30"/>
      <c r="J83" s="30"/>
      <c r="K83" s="30"/>
      <c r="L83" s="30"/>
      <c r="M83" s="30"/>
    </row>
    <row r="84">
      <c r="A84" s="31"/>
      <c r="B84" s="31"/>
      <c r="C84" s="31"/>
      <c r="D84" s="28"/>
      <c r="E84" s="31"/>
      <c r="F84" s="28"/>
      <c r="G84" s="32"/>
      <c r="H84" s="28"/>
      <c r="I84" s="28"/>
      <c r="J84" s="28"/>
      <c r="K84" s="28"/>
      <c r="L84" s="28"/>
      <c r="M84" s="28"/>
    </row>
    <row r="85">
      <c r="A85" s="31"/>
      <c r="B85" s="31"/>
      <c r="C85" s="31"/>
      <c r="D85" s="28"/>
      <c r="E85" s="31"/>
      <c r="F85" s="28"/>
      <c r="G85" s="32"/>
      <c r="H85" s="28"/>
      <c r="I85" s="28"/>
      <c r="J85" s="28"/>
      <c r="K85" s="28"/>
      <c r="L85" s="28"/>
      <c r="M85" s="28"/>
    </row>
    <row r="86">
      <c r="A86" s="31"/>
      <c r="B86" s="31"/>
      <c r="C86" s="31"/>
      <c r="D86" s="28"/>
      <c r="E86" s="31"/>
      <c r="F86" s="28"/>
      <c r="G86" s="32"/>
      <c r="H86" s="28"/>
      <c r="I86" s="28"/>
      <c r="J86" s="28"/>
      <c r="K86" s="28"/>
      <c r="L86" s="28"/>
      <c r="M86" s="28"/>
    </row>
    <row r="87">
      <c r="A87" s="31"/>
      <c r="B87" s="31"/>
      <c r="C87" s="31"/>
      <c r="D87" s="33"/>
      <c r="E87" s="34"/>
      <c r="F87" s="28"/>
      <c r="G87" s="32"/>
      <c r="H87" s="28"/>
      <c r="I87" s="28"/>
      <c r="J87" s="28"/>
      <c r="K87" s="28"/>
      <c r="L87" s="28"/>
      <c r="M87" s="28"/>
    </row>
    <row r="88">
      <c r="A88" s="31"/>
      <c r="B88" s="31"/>
      <c r="C88" s="31"/>
      <c r="D88" s="28"/>
      <c r="E88" s="31"/>
      <c r="F88" s="28"/>
      <c r="G88" s="32"/>
      <c r="H88" s="28"/>
      <c r="I88" s="28"/>
      <c r="J88" s="28"/>
      <c r="K88" s="28"/>
      <c r="L88" s="28"/>
      <c r="M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</row>
    <row r="90">
      <c r="A90" s="35" t="s">
        <v>0</v>
      </c>
      <c r="B90" s="36" t="s">
        <v>165</v>
      </c>
      <c r="C90" s="36" t="s">
        <v>166</v>
      </c>
      <c r="D90" s="36" t="s">
        <v>167</v>
      </c>
      <c r="E90" s="67" t="s">
        <v>168</v>
      </c>
      <c r="F90" s="36" t="s">
        <v>169</v>
      </c>
      <c r="G90" s="36" t="s">
        <v>170</v>
      </c>
      <c r="H90" s="36" t="s">
        <v>171</v>
      </c>
      <c r="I90" s="36" t="s">
        <v>172</v>
      </c>
    </row>
    <row r="91">
      <c r="A91" s="65" t="s">
        <v>19</v>
      </c>
      <c r="B91" s="39">
        <f>SUMIF(Апрель_2025[[#ALL],[Филиал ТЦ]],A91,Апрель_2025[[#ALL],[Площадь (м²)]])</f>
        <v>2330</v>
      </c>
      <c r="C91" s="39">
        <f>SUMIFS(Апрель_2025[[#ALL],[Площадь (м²)]],Апрель_2025[[#ALL],[Филиал ТЦ]],A91,Апрель_2025[[#ALL],[Категория]],"&lt;&gt;Пустой")</f>
        <v>1895</v>
      </c>
      <c r="D91" s="40">
        <f>COUNTIFS(Апрель_2025[[#ALL],[Филиал ТЦ]],A91,Апрель_2025[[#ALL],[Номер помещения]],"&lt;&gt;")</f>
        <v>23</v>
      </c>
      <c r="E91" s="40">
        <f>COUNTIFS(Апрель_2025[[#ALL],[Филиал ТЦ]],A91,Апрель_2025[[#ALL],[ID арендатора]],"&lt;&gt;")</f>
        <v>21</v>
      </c>
      <c r="F91" s="41">
        <f>SUMIF(Апрель_2025[[#ALL],[Филиал ТЦ]],A91,Апрель_2025[[#ALL],[Продажи/мес]])</f>
        <v>591</v>
      </c>
      <c r="G91" s="42">
        <f>SUMIF(Апрель_2025[[#ALL],[Филиал ТЦ]],A91,Апрель_2025[[#ALL],[Выручка (руб/мес)]])</f>
        <v>26034000</v>
      </c>
      <c r="H91" s="42">
        <f>SUMIF(Апрель_2025[[#ALL],[Филиал ТЦ]],A91,Апрель_2025[[#ALL],[Долг по аренде (руб)]])</f>
        <v>511900</v>
      </c>
      <c r="I91" s="43">
        <f t="shared" ref="I91:I94" si="1">G91/C91</f>
        <v>13738.25858</v>
      </c>
    </row>
    <row r="92">
      <c r="A92" s="65" t="s">
        <v>9</v>
      </c>
      <c r="B92" s="39">
        <f>SUMIF(Апрель_2025[[#ALL],[Филиал ТЦ]],A92,Апрель_2025[[#ALL],[Площадь (м²)]])</f>
        <v>2176</v>
      </c>
      <c r="C92" s="39">
        <f>SUMIFS(Апрель_2025[[#ALL],[Площадь (м²)]],Апрель_2025[[#ALL],[Филиал ТЦ]],A92,Апрель_2025[[#ALL],[Категория]],"&lt;&gt;Пустой")</f>
        <v>2176</v>
      </c>
      <c r="D92" s="40">
        <f>COUNTIFS(Апрель_2025[[#ALL],[Филиал ТЦ]],A92,Апрель_2025[[#ALL],[Номер помещения]],"&lt;&gt;")</f>
        <v>18</v>
      </c>
      <c r="E92" s="40">
        <f>COUNTIFS(Апрель_2025[[#ALL],[Филиал ТЦ]],A92,Апрель_2025[[#ALL],[ID арендатора]],"&lt;&gt;")</f>
        <v>18</v>
      </c>
      <c r="F92" s="41">
        <f>SUMIF(Апрель_2025[[#ALL],[Филиал ТЦ]],A92,Апрель_2025[[#ALL],[Продажи/мес]])</f>
        <v>545</v>
      </c>
      <c r="G92" s="42">
        <f>SUMIF(Апрель_2025[[#ALL],[Филиал ТЦ]],A92,Апрель_2025[[#ALL],[Выручка (руб/мес)]])</f>
        <v>40873500</v>
      </c>
      <c r="H92" s="42">
        <f>SUMIF(Апрель_2025[[#ALL],[Филиал ТЦ]],A92,Апрель_2025[[#ALL],[Долг по аренде (руб)]])</f>
        <v>659670</v>
      </c>
      <c r="I92" s="43">
        <f t="shared" si="1"/>
        <v>18783.77757</v>
      </c>
    </row>
    <row r="93">
      <c r="A93" s="65" t="s">
        <v>13</v>
      </c>
      <c r="B93" s="39">
        <f>SUMIF(Апрель_2025[[#ALL],[Филиал ТЦ]],A93,Апрель_2025[[#ALL],[Площадь (м²)]])</f>
        <v>1855</v>
      </c>
      <c r="C93" s="39">
        <f>SUMIFS(Апрель_2025[[#ALL],[Площадь (м²)]],Апрель_2025[[#ALL],[Филиал ТЦ]],A93,Апрель_2025[[#ALL],[Категория]],"&lt;&gt;Пустой")</f>
        <v>1855</v>
      </c>
      <c r="D93" s="40">
        <f>COUNTIFS(Апрель_2025[[#ALL],[Филиал ТЦ]],A93,Апрель_2025[[#ALL],[Номер помещения]],"&lt;&gt;")</f>
        <v>18</v>
      </c>
      <c r="E93" s="40">
        <f>COUNTIFS(Апрель_2025[[#ALL],[Филиал ТЦ]],A93,Апрель_2025[[#ALL],[ID арендатора]],"&lt;&gt;")</f>
        <v>18</v>
      </c>
      <c r="F93" s="41">
        <f>SUMIF(Апрель_2025[[#ALL],[Филиал ТЦ]],A93,Апрель_2025[[#ALL],[Продажи/мес]])</f>
        <v>508</v>
      </c>
      <c r="G93" s="42">
        <f>SUMIF(Апрель_2025[[#ALL],[Филиал ТЦ]],A93,Апрель_2025[[#ALL],[Выручка (руб/мес)]])</f>
        <v>23685000</v>
      </c>
      <c r="H93" s="42">
        <f>SUMIF(Апрель_2025[[#ALL],[Филиал ТЦ]],A93,Апрель_2025[[#ALL],[Долг по аренде (руб)]])</f>
        <v>470180</v>
      </c>
      <c r="I93" s="43">
        <f t="shared" si="1"/>
        <v>12768.19407</v>
      </c>
    </row>
    <row r="94">
      <c r="A94" s="66" t="s">
        <v>16</v>
      </c>
      <c r="B94" s="45">
        <f>SUMIF(Апрель_2025[[#ALL],[Филиал ТЦ]],A94,Апрель_2025[[#ALL],[Площадь (м²)]])</f>
        <v>3112</v>
      </c>
      <c r="C94" s="45">
        <f>SUMIFS(Апрель_2025[[#ALL],[Площадь (м²)]],Апрель_2025[[#ALL],[Филиал ТЦ]],A94,Апрель_2025[[#ALL],[Категория]],"&lt;&gt;Пустой")</f>
        <v>3112</v>
      </c>
      <c r="D94" s="46">
        <f>COUNTIFS(Апрель_2025[[#ALL],[Филиал ТЦ]],A94,Апрель_2025[[#ALL],[Номер помещения]],"&lt;&gt;")</f>
        <v>20</v>
      </c>
      <c r="E94" s="46">
        <f>COUNTIFS(Апрель_2025[[#ALL],[Филиал ТЦ]],A94,Апрель_2025[[#ALL],[ID арендатора]],"&lt;&gt;")</f>
        <v>20</v>
      </c>
      <c r="F94" s="47">
        <f>SUMIF(Апрель_2025[[#ALL],[Филиал ТЦ]],A94,Апрель_2025[[#ALL],[Продажи/мес]])</f>
        <v>708</v>
      </c>
      <c r="G94" s="48">
        <f>SUMIF(Апрель_2025[[#ALL],[Филиал ТЦ]],A94,Апрель_2025[[#ALL],[Выручка (руб/мес)]])</f>
        <v>39595000</v>
      </c>
      <c r="H94" s="48">
        <f>SUMIF(Апрель_2025[[#ALL],[Филиал ТЦ]],A94,Апрель_2025[[#ALL],[Долг по аренде (руб)]])</f>
        <v>697460</v>
      </c>
      <c r="I94" s="49">
        <f t="shared" si="1"/>
        <v>12723.32905</v>
      </c>
    </row>
    <row r="95">
      <c r="A95" s="31"/>
      <c r="B95" s="31"/>
      <c r="C95" s="31"/>
      <c r="D95" s="28"/>
      <c r="E95" s="31"/>
      <c r="F95" s="28"/>
      <c r="G95" s="32"/>
      <c r="H95" s="28"/>
      <c r="I95" s="28"/>
      <c r="J95" s="28"/>
      <c r="K95" s="28"/>
      <c r="L95" s="28"/>
      <c r="M95" s="28"/>
    </row>
    <row r="96">
      <c r="A96" s="31"/>
      <c r="B96" s="31"/>
      <c r="C96" s="31"/>
      <c r="D96" s="28"/>
      <c r="E96" s="31"/>
      <c r="F96" s="28"/>
      <c r="G96" s="32"/>
      <c r="H96" s="28"/>
      <c r="I96" s="28"/>
      <c r="J96" s="28"/>
      <c r="K96" s="28"/>
      <c r="L96" s="28"/>
      <c r="M96" s="28"/>
    </row>
    <row r="97">
      <c r="A97" s="31"/>
      <c r="B97" s="31"/>
      <c r="C97" s="31"/>
      <c r="D97" s="28"/>
      <c r="E97" s="31"/>
      <c r="F97" s="28"/>
      <c r="G97" s="32"/>
      <c r="H97" s="28"/>
      <c r="I97" s="28"/>
      <c r="J97" s="28"/>
      <c r="K97" s="28"/>
      <c r="L97" s="28"/>
      <c r="M97" s="28"/>
    </row>
    <row r="98" ht="19.5" customHeight="1">
      <c r="A98" s="50"/>
      <c r="B98" s="51" t="s">
        <v>16</v>
      </c>
      <c r="E98" s="51" t="s">
        <v>9</v>
      </c>
      <c r="H98" s="51" t="s">
        <v>13</v>
      </c>
      <c r="K98" s="51" t="s">
        <v>19</v>
      </c>
    </row>
    <row r="99" ht="19.5" customHeight="1">
      <c r="A99" s="52"/>
      <c r="B99" s="53" t="s">
        <v>173</v>
      </c>
      <c r="C99" s="53" t="s">
        <v>174</v>
      </c>
      <c r="D99" s="54" t="s">
        <v>175</v>
      </c>
      <c r="E99" s="53" t="s">
        <v>176</v>
      </c>
      <c r="F99" s="53" t="s">
        <v>177</v>
      </c>
      <c r="G99" s="54" t="s">
        <v>175</v>
      </c>
      <c r="H99" s="55" t="s">
        <v>176</v>
      </c>
      <c r="I99" s="55" t="s">
        <v>177</v>
      </c>
      <c r="J99" s="56" t="s">
        <v>175</v>
      </c>
      <c r="K99" s="55" t="s">
        <v>176</v>
      </c>
      <c r="L99" s="55" t="s">
        <v>177</v>
      </c>
      <c r="M99" s="56" t="s">
        <v>175</v>
      </c>
    </row>
    <row r="100" ht="19.5" customHeight="1">
      <c r="A100" s="57" t="s">
        <v>65</v>
      </c>
      <c r="B100" s="58">
        <f>SUMIFS(Апрель_2025[[#ALL],[Площадь (м²)]],Апрель_2025[[#ALL],[Филиал ТЦ]],B$98,Апрель_2025[[#ALL],[Категория]],$A100)/SUMIFS(Апрель_2025[[#ALL],[Площадь (м²)]],Апрель_2025[[#ALL],[Филиал ТЦ]],B$98)</f>
        <v>0.1446015424</v>
      </c>
      <c r="C100" s="59">
        <f>IF(B100&gt;0, SUMIFS(Апрель_2025[[#ALL],[Выручка (руб/мес)]],Апрель_2025[[#ALL],[Филиал ТЦ]],B$98,Апрель_2025[[#ALL],[Категория]],$A100)/SUMIFS(Апрель_2025[[#ALL],[Продажи/мес]],Апрель_2025[[#ALL],[Филиал ТЦ]],B$98,Апрель_2025[[#ALL],[Категория]],$A100), "нет категории")</f>
        <v>184883.7209</v>
      </c>
      <c r="D100" s="60">
        <f>IF(B100&gt;0, SUMIFS(Апрель_2025[[#ALL],[Выручка (руб/мес)]],Апрель_2025[[#ALL],[Филиал ТЦ]],B$98,Апрель_2025[[#ALL],[Категория]],$A100)/SUMIFS(Апрель_2025[[#ALL],[Площадь (м²)]],Апрель_2025[[#ALL],[Филиал ТЦ]],B$98,Апрель_2025[[#ALL],[Категория]],$A100), "нет категории")</f>
        <v>17666.66667</v>
      </c>
      <c r="E100" s="58">
        <f>SUMIFS(Апрель_2025[[#ALL],[Площадь (м²)]],Апрель_2025[[#ALL],[Филиал ТЦ]],E$98,Апрель_2025[[#ALL],[Категория]],$A100)/SUMIFS(Апрель_2025[[#ALL],[Площадь (м²)]],Апрель_2025[[#ALL],[Филиал ТЦ]],E$98)</f>
        <v>0.1659007353</v>
      </c>
      <c r="F100" s="59">
        <f>IF(E100&gt;0, SUMIFS(Апрель_2025[[#ALL],[Выручка (руб/мес)]],Апрель_2025[[#ALL],[Филиал ТЦ]],E$98,Апрель_2025[[#ALL],[Категория]],$A100)/SUMIFS(Апрель_2025[[#ALL],[Продажи/мес]],Апрель_2025[[#ALL],[Филиал ТЦ]],E$98,Апрель_2025[[#ALL],[Категория]],$A100), "нет категории")</f>
        <v>156828.125</v>
      </c>
      <c r="G100" s="60">
        <f>IF(E100&gt;0,SUMIFS(Апрель_2025[[#ALL],[Выручка (руб/мес)]],Апрель_2025[[#ALL],[Филиал ТЦ]],E$98,Апрель_2025[[#ALL],[Категория]],$A100)/SUMIFS(Апрель_2025[[#ALL],[Площадь (м²)]],Апрель_2025[[#ALL],[Филиал ТЦ]],E$98,Апрель_2025[[#ALL],[Категория]],$A100), "нет категории")</f>
        <v>13901.66205</v>
      </c>
      <c r="H100" s="58">
        <f>SUMIFS(Апрель_2025[[#ALL],[Площадь (м²)]],Апрель_2025[[#ALL],[Филиал ТЦ]],H$98,Апрель_2025[[#ALL],[Категория]],$A100)/SUMIFS(Апрель_2025[[#ALL],[Площадь (м²)]],Апрель_2025[[#ALL],[Филиал ТЦ]],H$98)</f>
        <v>0.1725067385</v>
      </c>
      <c r="I100" s="59">
        <f>IF(H100&gt;0, SUMIFS(Апрель_2025[[#ALL],[Выручка (руб/мес)]],Апрель_2025[[#ALL],[Филиал ТЦ]],H$98,Апрель_2025[[#ALL],[Категория]],$A100)/SUMIFS(Апрель_2025[[#ALL],[Продажи/мес]],Апрель_2025[[#ALL],[Филиал ТЦ]],H$98,Апрель_2025[[#ALL],[Категория]],$A100), "нет категории")</f>
        <v>223448.2759</v>
      </c>
      <c r="J100" s="60">
        <f>IF(H100&gt;0, SUMIFS(Апрель_2025[[#ALL],[Выручка (руб/мес)]],Апрель_2025[[#ALL],[Филиал ТЦ]],H$98,Апрель_2025[[#ALL],[Категория]],$A100)/SUMIFS(Апрель_2025[[#ALL],[Площадь (м²)]],Апрель_2025[[#ALL],[Филиал ТЦ]],H$98,Апрель_2025[[#ALL],[Категория]],$A100), "нет категории")</f>
        <v>20250</v>
      </c>
      <c r="K100" s="58">
        <f>SUMIFS(Апрель_2025[[#ALL],[Площадь (м²)]],Апрель_2025[[#ALL],[Филиал ТЦ]],K$98,Апрель_2025[[#ALL],[Категория]],$A100)/SUMIFS(Апрель_2025[[#ALL],[Площадь (м²)]],Апрель_2025[[#ALL],[Филиал ТЦ]],K$98)</f>
        <v>0.1459227468</v>
      </c>
      <c r="L100" s="59">
        <f>IF(K100&gt;0, SUMIFS(Апрель_2025[[#ALL],[Выручка (руб/мес)]],Апрель_2025[[#ALL],[Филиал ТЦ]],K$98,Апрель_2025[[#ALL],[Категория]],$A100)/SUMIFS(Апрель_2025[[#ALL],[Продажи/мес]],Апрель_2025[[#ALL],[Филиал ТЦ]],K$98,Апрель_2025[[#ALL],[Категория]],$A100), "нет категории")</f>
        <v>191489.3617</v>
      </c>
      <c r="M100" s="60">
        <f>IF(K100&gt;0, SUMIFS(Апрель_2025[[#ALL],[Выручка (руб/мес)]],Апрель_2025[[#ALL],[Филиал ТЦ]],K$98,Апрель_2025[[#ALL],[Категория]],$A100)/SUMIFS(Апрель_2025[[#ALL],[Площадь (м²)]],Апрель_2025[[#ALL],[Филиал ТЦ]],K$98,Апрель_2025[[#ALL],[Категория]],$A100), "нет категории")</f>
        <v>26470.58824</v>
      </c>
    </row>
    <row r="101" ht="19.5" customHeight="1">
      <c r="A101" s="61" t="s">
        <v>93</v>
      </c>
      <c r="B101" s="62">
        <f>SUMIFS(Апрель_2025[[#ALL],[Площадь (м²)]],Апрель_2025[[#ALL],[Филиал ТЦ]],B$98,Апрель_2025[[#ALL],[Категория]],$A101)/SUMIFS(Апрель_2025[[#ALL],[Площадь (м²)]],Апрель_2025[[#ALL],[Филиал ТЦ]],B$98)</f>
        <v>0.2008354756</v>
      </c>
      <c r="C101" s="63">
        <f>IF(B101&gt;0, SUMIFS(Апрель_2025[[#ALL],[Выручка (руб/мес)]],Апрель_2025[[#ALL],[Филиал ТЦ]],B$98,Апрель_2025[[#ALL],[Категория]],$A101)/SUMIFS(Апрель_2025[[#ALL],[Продажи/мес]],Апрель_2025[[#ALL],[Филиал ТЦ]],B$98,Апрель_2025[[#ALL],[Категория]],$A101), "нет категории")</f>
        <v>69280</v>
      </c>
      <c r="D101" s="64">
        <f>IF(B101&gt;0, SUMIFS(Апрель_2025[[#ALL],[Выручка (руб/мес)]],Апрель_2025[[#ALL],[Филиал ТЦ]],B$98,Апрель_2025[[#ALL],[Категория]],$A101)/SUMIFS(Апрель_2025[[#ALL],[Площадь (м²)]],Апрель_2025[[#ALL],[Филиал ТЦ]],B$98,Апрель_2025[[#ALL],[Категория]],$A101), "нет категории")</f>
        <v>13856</v>
      </c>
      <c r="E101" s="62">
        <f>SUMIFS(Апрель_2025[[#ALL],[Площадь (м²)]],Апрель_2025[[#ALL],[Филиал ТЦ]],E$98,Апрель_2025[[#ALL],[Категория]],$A101)/SUMIFS(Апрель_2025[[#ALL],[Площадь (м²)]],Апрель_2025[[#ALL],[Филиал ТЦ]],E$98)</f>
        <v>0.1930147059</v>
      </c>
      <c r="F101" s="63">
        <f>IF(E101&gt;0, SUMIFS(Апрель_2025[[#ALL],[Выручка (руб/мес)]],Апрель_2025[[#ALL],[Филиал ТЦ]],E$98,Апрель_2025[[#ALL],[Категория]],$A101)/SUMIFS(Апрель_2025[[#ALL],[Продажи/мес]],Апрель_2025[[#ALL],[Филиал ТЦ]],E$98,Апрель_2025[[#ALL],[Категория]],$A101), "нет категории")</f>
        <v>112500</v>
      </c>
      <c r="G101" s="64">
        <f>IF(E101&gt;0,SUMIFS(Апрель_2025[[#ALL],[Выручка (руб/мес)]],Апрель_2025[[#ALL],[Филиал ТЦ]],E$98,Апрель_2025[[#ALL],[Категория]],$A101)/SUMIFS(Апрель_2025[[#ALL],[Площадь (м²)]],Апрель_2025[[#ALL],[Филиал ТЦ]],E$98,Апрель_2025[[#ALL],[Категория]],$A101), "нет категории")</f>
        <v>20357.14286</v>
      </c>
      <c r="H101" s="62">
        <f>SUMIFS(Апрель_2025[[#ALL],[Площадь (м²)]],Апрель_2025[[#ALL],[Филиал ТЦ]],H$98,Апрель_2025[[#ALL],[Категория]],$A101)/SUMIFS(Апрель_2025[[#ALL],[Площадь (м²)]],Апрель_2025[[#ALL],[Филиал ТЦ]],H$98)</f>
        <v>0.269541779</v>
      </c>
      <c r="I101" s="63">
        <f>IF(H101&gt;0, SUMIFS(Апрель_2025[[#ALL],[Выручка (руб/мес)]],Апрель_2025[[#ALL],[Филиал ТЦ]],H$98,Апрель_2025[[#ALL],[Категория]],$A101)/SUMIFS(Апрель_2025[[#ALL],[Продажи/мес]],Апрель_2025[[#ALL],[Филиал ТЦ]],H$98,Апрель_2025[[#ALL],[Категория]],$A101), "нет категории")</f>
        <v>56240.6015</v>
      </c>
      <c r="J101" s="64">
        <f>IF(H101&gt;0, SUMIFS(Апрель_2025[[#ALL],[Выручка (руб/мес)]],Апрель_2025[[#ALL],[Филиал ТЦ]],H$98,Апрель_2025[[#ALL],[Категория]],$A101)/SUMIFS(Апрель_2025[[#ALL],[Площадь (м²)]],Апрель_2025[[#ALL],[Филиал ТЦ]],H$98,Апрель_2025[[#ALL],[Категория]],$A101), "нет категории")</f>
        <v>14960</v>
      </c>
      <c r="K101" s="62">
        <f>SUMIFS(Апрель_2025[[#ALL],[Площадь (м²)]],Апрель_2025[[#ALL],[Филиал ТЦ]],K$98,Апрель_2025[[#ALL],[Категория]],$A101)/SUMIFS(Апрель_2025[[#ALL],[Площадь (м²)]],Апрель_2025[[#ALL],[Филиал ТЦ]],K$98)</f>
        <v>0.1995708155</v>
      </c>
      <c r="L101" s="63">
        <f>IF(K101&gt;0, SUMIFS(Апрель_2025[[#ALL],[Выручка (руб/мес)]],Апрель_2025[[#ALL],[Филиал ТЦ]],K$98,Апрель_2025[[#ALL],[Категория]],$A101)/SUMIFS(Апрель_2025[[#ALL],[Продажи/мес]],Апрель_2025[[#ALL],[Филиал ТЦ]],K$98,Апрель_2025[[#ALL],[Категория]],$A101), "нет категории")</f>
        <v>43467.74194</v>
      </c>
      <c r="M101" s="64">
        <f>IF(K101&gt;0, SUMIFS(Апрель_2025[[#ALL],[Выручка (руб/мес)]],Апрель_2025[[#ALL],[Филиал ТЦ]],K$98,Апрель_2025[[#ALL],[Категория]],$A101)/SUMIFS(Апрель_2025[[#ALL],[Площадь (м²)]],Апрель_2025[[#ALL],[Филиал ТЦ]],K$98,Апрель_2025[[#ALL],[Категория]],$A101), "нет категории")</f>
        <v>11591.39785</v>
      </c>
    </row>
    <row r="102" ht="19.5" customHeight="1">
      <c r="A102" s="61" t="s">
        <v>140</v>
      </c>
      <c r="B102" s="62">
        <f>SUMIFS(Апрель_2025[[#ALL],[Площадь (м²)]],Апрель_2025[[#ALL],[Филиал ТЦ]],B$98,Апрель_2025[[#ALL],[Категория]],$A102)/SUMIFS(Апрель_2025[[#ALL],[Площадь (м²)]],Апрель_2025[[#ALL],[Филиал ТЦ]],B$98)</f>
        <v>0.05141388175</v>
      </c>
      <c r="C102" s="63">
        <f>IF(B102&gt;0, SUMIFS(Апрель_2025[[#ALL],[Выручка (руб/мес)]],Апрель_2025[[#ALL],[Филиал ТЦ]],B$98,Апрель_2025[[#ALL],[Категория]],$A102)/SUMIFS(Апрель_2025[[#ALL],[Продажи/мес]],Апрель_2025[[#ALL],[Филиал ТЦ]],B$98,Апрель_2025[[#ALL],[Категория]],$A102), "нет категории")</f>
        <v>16000</v>
      </c>
      <c r="D102" s="64">
        <f>IF(B102&gt;0, SUMIFS(Апрель_2025[[#ALL],[Выручка (руб/мес)]],Апрель_2025[[#ALL],[Филиал ТЦ]],B$98,Апрель_2025[[#ALL],[Категория]],$A102)/SUMIFS(Апрель_2025[[#ALL],[Площадь (м²)]],Апрель_2025[[#ALL],[Филиал ТЦ]],B$98,Апрель_2025[[#ALL],[Категория]],$A102), "нет категории")</f>
        <v>7500</v>
      </c>
      <c r="E102" s="62">
        <f>SUMIFS(Апрель_2025[[#ALL],[Площадь (м²)]],Апрель_2025[[#ALL],[Филиал ТЦ]],E$98,Апрель_2025[[#ALL],[Категория]],$A102)/SUMIFS(Апрель_2025[[#ALL],[Площадь (м²)]],Апрель_2025[[#ALL],[Филиал ТЦ]],E$98)</f>
        <v>0.06893382353</v>
      </c>
      <c r="F102" s="63">
        <f>IF(E102&gt;0, SUMIFS(Апрель_2025[[#ALL],[Выручка (руб/мес)]],Апрель_2025[[#ALL],[Филиал ТЦ]],E$98,Апрель_2025[[#ALL],[Категория]],$A102)/SUMIFS(Апрель_2025[[#ALL],[Продажи/мес]],Апрель_2025[[#ALL],[Филиал ТЦ]],E$98,Апрель_2025[[#ALL],[Категория]],$A102), "нет категории")</f>
        <v>15000</v>
      </c>
      <c r="G102" s="64">
        <f>IF(E102&gt;0,SUMIFS(Апрель_2025[[#ALL],[Выручка (руб/мес)]],Апрель_2025[[#ALL],[Филиал ТЦ]],E$98,Апрель_2025[[#ALL],[Категория]],$A102)/SUMIFS(Апрель_2025[[#ALL],[Площадь (м²)]],Апрель_2025[[#ALL],[Филиал ТЦ]],E$98,Апрель_2025[[#ALL],[Категория]],$A102), "нет категории")</f>
        <v>8000</v>
      </c>
      <c r="H102" s="62">
        <f>SUMIFS(Апрель_2025[[#ALL],[Площадь (м²)]],Апрель_2025[[#ALL],[Филиал ТЦ]],H$98,Апрель_2025[[#ALL],[Категория]],$A102)/SUMIFS(Апрель_2025[[#ALL],[Площадь (м²)]],Апрель_2025[[#ALL],[Филиал ТЦ]],H$98)</f>
        <v>0.07547169811</v>
      </c>
      <c r="I102" s="63">
        <f>IF(H102&gt;0, SUMIFS(Апрель_2025[[#ALL],[Выручка (руб/мес)]],Апрель_2025[[#ALL],[Филиал ТЦ]],H$98,Апрель_2025[[#ALL],[Категория]],$A102)/SUMIFS(Апрель_2025[[#ALL],[Продажи/мес]],Апрель_2025[[#ALL],[Филиал ТЦ]],H$98,Апрель_2025[[#ALL],[Категория]],$A102), "нет категории")</f>
        <v>16153.84615</v>
      </c>
      <c r="J102" s="64">
        <f>IF(H102&gt;0, SUMIFS(Апрель_2025[[#ALL],[Выручка (руб/мес)]],Апрель_2025[[#ALL],[Филиал ТЦ]],H$98,Апрель_2025[[#ALL],[Категория]],$A102)/SUMIFS(Апрель_2025[[#ALL],[Площадь (м²)]],Апрель_2025[[#ALL],[Филиал ТЦ]],H$98,Апрель_2025[[#ALL],[Категория]],$A102), "нет категории")</f>
        <v>7500</v>
      </c>
      <c r="K102" s="62">
        <f>SUMIFS(Апрель_2025[[#ALL],[Площадь (м²)]],Апрель_2025[[#ALL],[Филиал ТЦ]],K$98,Апрель_2025[[#ALL],[Категория]],$A102)/SUMIFS(Апрель_2025[[#ALL],[Площадь (м²)]],Апрель_2025[[#ALL],[Филиал ТЦ]],K$98)</f>
        <v>0.07725321888</v>
      </c>
      <c r="L102" s="63">
        <f>IF(K102&gt;0, SUMIFS(Апрель_2025[[#ALL],[Выручка (руб/мес)]],Апрель_2025[[#ALL],[Филиал ТЦ]],K$98,Апрель_2025[[#ALL],[Категория]],$A102)/SUMIFS(Апрель_2025[[#ALL],[Продажи/мес]],Апрель_2025[[#ALL],[Филиал ТЦ]],K$98,Апрель_2025[[#ALL],[Категория]],$A102), "нет категории")</f>
        <v>11170.21277</v>
      </c>
      <c r="M102" s="64">
        <f>IF(K102&gt;0, SUMIFS(Апрель_2025[[#ALL],[Выручка (руб/мес)]],Апрель_2025[[#ALL],[Филиал ТЦ]],K$98,Апрель_2025[[#ALL],[Категория]],$A102)/SUMIFS(Апрель_2025[[#ALL],[Площадь (м²)]],Апрель_2025[[#ALL],[Филиал ТЦ]],K$98,Апрель_2025[[#ALL],[Категория]],$A102), "нет категории")</f>
        <v>5833.333333</v>
      </c>
    </row>
    <row r="103" ht="19.5" customHeight="1">
      <c r="A103" s="61" t="s">
        <v>130</v>
      </c>
      <c r="B103" s="62">
        <f>SUMIFS(Апрель_2025[[#ALL],[Площадь (м²)]],Апрель_2025[[#ALL],[Филиал ТЦ]],B$98,Апрель_2025[[#ALL],[Категория]],$A103)/SUMIFS(Апрель_2025[[#ALL],[Площадь (м²)]],Апрель_2025[[#ALL],[Филиал ТЦ]],B$98)</f>
        <v>0.0353470437</v>
      </c>
      <c r="C103" s="63">
        <f>IF(B103&gt;0, SUMIFS(Апрель_2025[[#ALL],[Выручка (руб/мес)]],Апрель_2025[[#ALL],[Филиал ТЦ]],B$98,Апрель_2025[[#ALL],[Категория]],$A103)/SUMIFS(Апрель_2025[[#ALL],[Продажи/мес]],Апрель_2025[[#ALL],[Филиал ТЦ]],B$98,Апрель_2025[[#ALL],[Категория]],$A103), "нет категории")</f>
        <v>10784.31373</v>
      </c>
      <c r="D103" s="64">
        <f>IF(B103&gt;0, SUMIFS(Апрель_2025[[#ALL],[Выручка (руб/мес)]],Апрель_2025[[#ALL],[Филиал ТЦ]],B$98,Апрель_2025[[#ALL],[Категория]],$A103)/SUMIFS(Апрель_2025[[#ALL],[Площадь (м²)]],Апрель_2025[[#ALL],[Филиал ТЦ]],B$98,Апрель_2025[[#ALL],[Категория]],$A103), "нет категории")</f>
        <v>5000</v>
      </c>
      <c r="E103" s="62">
        <f>SUMIFS(Апрель_2025[[#ALL],[Площадь (м²)]],Апрель_2025[[#ALL],[Филиал ТЦ]],E$98,Апрель_2025[[#ALL],[Категория]],$A103)/SUMIFS(Апрель_2025[[#ALL],[Площадь (м²)]],Апрель_2025[[#ALL],[Филиал ТЦ]],E$98)</f>
        <v>0.04595588235</v>
      </c>
      <c r="F103" s="63">
        <f>IF(E103&gt;0, SUMIFS(Апрель_2025[[#ALL],[Выручка (руб/мес)]],Апрель_2025[[#ALL],[Филиал ТЦ]],E$98,Апрель_2025[[#ALL],[Категория]],$A103)/SUMIFS(Апрель_2025[[#ALL],[Продажи/мес]],Апрель_2025[[#ALL],[Филиал ТЦ]],E$98,Апрель_2025[[#ALL],[Категория]],$A103), "нет категории")</f>
        <v>11250</v>
      </c>
      <c r="G103" s="64">
        <f>IF(E103&gt;0,SUMIFS(Апрель_2025[[#ALL],[Выручка (руб/мес)]],Апрель_2025[[#ALL],[Филиал ТЦ]],E$98,Апрель_2025[[#ALL],[Категория]],$A103)/SUMIFS(Апрель_2025[[#ALL],[Площадь (м²)]],Апрель_2025[[#ALL],[Филиал ТЦ]],E$98,Апрель_2025[[#ALL],[Категория]],$A103), "нет категории")</f>
        <v>4950</v>
      </c>
      <c r="H103" s="62">
        <f>SUMIFS(Апрель_2025[[#ALL],[Площадь (м²)]],Апрель_2025[[#ALL],[Филиал ТЦ]],H$98,Апрель_2025[[#ALL],[Категория]],$A103)/SUMIFS(Апрель_2025[[#ALL],[Площадь (м²)]],Апрель_2025[[#ALL],[Филиал ТЦ]],H$98)</f>
        <v>0.04851752022</v>
      </c>
      <c r="I103" s="63">
        <f>IF(H103&gt;0, SUMIFS(Апрель_2025[[#ALL],[Выручка (руб/мес)]],Апрель_2025[[#ALL],[Филиал ТЦ]],H$98,Апрель_2025[[#ALL],[Категория]],$A103)/SUMIFS(Апрель_2025[[#ALL],[Продажи/мес]],Апрель_2025[[#ALL],[Филиал ТЦ]],H$98,Апрель_2025[[#ALL],[Категория]],$A103), "нет категории")</f>
        <v>11282.05128</v>
      </c>
      <c r="J103" s="64">
        <f>IF(H103&gt;0, SUMIFS(Апрель_2025[[#ALL],[Выручка (руб/мес)]],Апрель_2025[[#ALL],[Филиал ТЦ]],H$98,Апрель_2025[[#ALL],[Категория]],$A103)/SUMIFS(Апрель_2025[[#ALL],[Площадь (м²)]],Апрель_2025[[#ALL],[Филиал ТЦ]],H$98,Апрель_2025[[#ALL],[Категория]],$A103), "нет категории")</f>
        <v>4888.888889</v>
      </c>
      <c r="K103" s="62">
        <f>SUMIFS(Апрель_2025[[#ALL],[Площадь (м²)]],Апрель_2025[[#ALL],[Филиал ТЦ]],K$98,Апрель_2025[[#ALL],[Категория]],$A103)/SUMIFS(Апрель_2025[[#ALL],[Площадь (м²)]],Апрель_2025[[#ALL],[Филиал ТЦ]],K$98)</f>
        <v>0.03433476395</v>
      </c>
      <c r="L103" s="63">
        <f>IF(K103&gt;0, SUMIFS(Апрель_2025[[#ALL],[Выручка (руб/мес)]],Апрель_2025[[#ALL],[Филиал ТЦ]],K$98,Апрель_2025[[#ALL],[Категория]],$A103)/SUMIFS(Апрель_2025[[#ALL],[Продажи/мес]],Апрель_2025[[#ALL],[Филиал ТЦ]],K$98,Апрель_2025[[#ALL],[Категория]],$A103), "нет категории")</f>
        <v>11323.52941</v>
      </c>
      <c r="M103" s="64">
        <f>IF(K103&gt;0, SUMIFS(Апрель_2025[[#ALL],[Выручка (руб/мес)]],Апрель_2025[[#ALL],[Филиал ТЦ]],K$98,Апрель_2025[[#ALL],[Категория]],$A103)/SUMIFS(Апрель_2025[[#ALL],[Площадь (м²)]],Апрель_2025[[#ALL],[Филиал ТЦ]],K$98,Апрель_2025[[#ALL],[Категория]],$A103), "нет категории")</f>
        <v>4812.5</v>
      </c>
    </row>
    <row r="104" ht="19.5" customHeight="1">
      <c r="A104" s="61" t="s">
        <v>24</v>
      </c>
      <c r="B104" s="62">
        <f>SUMIFS(Апрель_2025[[#ALL],[Площадь (м²)]],Апрель_2025[[#ALL],[Филиал ТЦ]],B$98,Апрель_2025[[#ALL],[Категория]],$A104)/SUMIFS(Апрель_2025[[#ALL],[Площадь (м²)]],Апрель_2025[[#ALL],[Филиал ТЦ]],B$98)</f>
        <v>0.07422879177</v>
      </c>
      <c r="C104" s="63">
        <f>IF(B104&gt;0, SUMIFS(Апрель_2025[[#ALL],[Выручка (руб/мес)]],Апрель_2025[[#ALL],[Филиал ТЦ]],B$98,Апрель_2025[[#ALL],[Категория]],$A104)/SUMIFS(Апрель_2025[[#ALL],[Продажи/мес]],Апрель_2025[[#ALL],[Филиал ТЦ]],B$98,Апрель_2025[[#ALL],[Категория]],$A104), "нет категории")</f>
        <v>74722.22222</v>
      </c>
      <c r="D104" s="64">
        <f>IF(B104&gt;0, SUMIFS(Апрель_2025[[#ALL],[Выручка (руб/мес)]],Апрель_2025[[#ALL],[Филиал ТЦ]],B$98,Апрель_2025[[#ALL],[Категория]],$A104)/SUMIFS(Апрель_2025[[#ALL],[Площадь (м²)]],Апрель_2025[[#ALL],[Филиал ТЦ]],B$98,Апрель_2025[[#ALL],[Категория]],$A104), "нет категории")</f>
        <v>11645.02165</v>
      </c>
      <c r="E104" s="62">
        <f>SUMIFS(Апрель_2025[[#ALL],[Площадь (м²)]],Апрель_2025[[#ALL],[Филиал ТЦ]],E$98,Апрель_2025[[#ALL],[Категория]],$A104)/SUMIFS(Апрель_2025[[#ALL],[Площадь (м²)]],Апрель_2025[[#ALL],[Филиал ТЦ]],E$98)</f>
        <v>0.08272058824</v>
      </c>
      <c r="F104" s="63">
        <f>IF(E104&gt;0, SUMIFS(Апрель_2025[[#ALL],[Выручка (руб/мес)]],Апрель_2025[[#ALL],[Филиал ТЦ]],E$98,Апрель_2025[[#ALL],[Категория]],$A104)/SUMIFS(Апрель_2025[[#ALL],[Продажи/мес]],Апрель_2025[[#ALL],[Филиал ТЦ]],E$98,Апрель_2025[[#ALL],[Категория]],$A104), "нет категории")</f>
        <v>28125</v>
      </c>
      <c r="G104" s="64">
        <f>IF(E104&gt;0,SUMIFS(Апрель_2025[[#ALL],[Выручка (руб/мес)]],Апрель_2025[[#ALL],[Филиал ТЦ]],E$98,Апрель_2025[[#ALL],[Категория]],$A104)/SUMIFS(Апрель_2025[[#ALL],[Площадь (м²)]],Апрель_2025[[#ALL],[Филиал ТЦ]],E$98,Апрель_2025[[#ALL],[Категория]],$A104), "нет категории")</f>
        <v>10000</v>
      </c>
      <c r="H104" s="62">
        <f>SUMIFS(Апрель_2025[[#ALL],[Площадь (м²)]],Апрель_2025[[#ALL],[Филиал ТЦ]],H$98,Апрель_2025[[#ALL],[Категория]],$A104)/SUMIFS(Апрель_2025[[#ALL],[Площадь (м²)]],Апрель_2025[[#ALL],[Филиал ТЦ]],H$98)</f>
        <v>0.08032345013</v>
      </c>
      <c r="I104" s="63">
        <f>IF(H104&gt;0, SUMIFS(Апрель_2025[[#ALL],[Выручка (руб/мес)]],Апрель_2025[[#ALL],[Филиал ТЦ]],H$98,Апрель_2025[[#ALL],[Категория]],$A104)/SUMIFS(Апрель_2025[[#ALL],[Продажи/мес]],Апрель_2025[[#ALL],[Филиал ТЦ]],H$98,Апрель_2025[[#ALL],[Категория]],$A104), "нет категории")</f>
        <v>95294.11765</v>
      </c>
      <c r="J104" s="64">
        <f>IF(H104&gt;0, SUMIFS(Апрель_2025[[#ALL],[Выручка (руб/мес)]],Апрель_2025[[#ALL],[Филиал ТЦ]],H$98,Апрель_2025[[#ALL],[Категория]],$A104)/SUMIFS(Апрель_2025[[#ALL],[Площадь (м²)]],Апрель_2025[[#ALL],[Филиал ТЦ]],H$98,Апрель_2025[[#ALL],[Категория]],$A104), "нет категории")</f>
        <v>10872.48322</v>
      </c>
      <c r="K104" s="62">
        <f>SUMIFS(Апрель_2025[[#ALL],[Площадь (м²)]],Апрель_2025[[#ALL],[Филиал ТЦ]],K$98,Апрель_2025[[#ALL],[Категория]],$A104)/SUMIFS(Апрель_2025[[#ALL],[Площадь (м²)]],Апрель_2025[[#ALL],[Филиал ТЦ]],K$98)</f>
        <v>0.0652360515</v>
      </c>
      <c r="L104" s="63">
        <f>IF(K104&gt;0, SUMIFS(Апрель_2025[[#ALL],[Выручка (руб/мес)]],Апрель_2025[[#ALL],[Филиал ТЦ]],K$98,Апрель_2025[[#ALL],[Категория]],$A104)/SUMIFS(Апрель_2025[[#ALL],[Продажи/мес]],Апрель_2025[[#ALL],[Филиал ТЦ]],K$98,Апрель_2025[[#ALL],[Категория]],$A104), "нет категории")</f>
        <v>27547.16981</v>
      </c>
      <c r="M104" s="64">
        <f>IF(K104&gt;0, SUMIFS(Апрель_2025[[#ALL],[Выручка (руб/мес)]],Апрель_2025[[#ALL],[Филиал ТЦ]],K$98,Апрель_2025[[#ALL],[Категория]],$A104)/SUMIFS(Апрель_2025[[#ALL],[Площадь (м²)]],Апрель_2025[[#ALL],[Филиал ТЦ]],K$98,Апрель_2025[[#ALL],[Категория]],$A104), "нет категории")</f>
        <v>9605.263158</v>
      </c>
    </row>
    <row r="105" ht="19.5" customHeight="1">
      <c r="A105" s="61" t="s">
        <v>40</v>
      </c>
      <c r="B105" s="62">
        <f>SUMIFS(Апрель_2025[[#ALL],[Площадь (м²)]],Апрель_2025[[#ALL],[Филиал ТЦ]],B$98,Апрель_2025[[#ALL],[Категория]],$A105)/SUMIFS(Апрель_2025[[#ALL],[Площадь (м²)]],Апрель_2025[[#ALL],[Филиал ТЦ]],B$98)</f>
        <v>0.09511568123</v>
      </c>
      <c r="C105" s="63">
        <f>IF(B105&gt;0, SUMIFS(Апрель_2025[[#ALL],[Выручка (руб/мес)]],Апрель_2025[[#ALL],[Филиал ТЦ]],B$98,Апрель_2025[[#ALL],[Категория]],$A105)/SUMIFS(Апрель_2025[[#ALL],[Продажи/мес]],Апрель_2025[[#ALL],[Филиал ТЦ]],B$98,Апрель_2025[[#ALL],[Категория]],$A105), "нет категории")</f>
        <v>80769.23077</v>
      </c>
      <c r="D105" s="64">
        <f>IF(B105&gt;0, SUMIFS(Апрель_2025[[#ALL],[Выручка (руб/мес)]],Апрель_2025[[#ALL],[Филиал ТЦ]],B$98,Апрель_2025[[#ALL],[Категория]],$A105)/SUMIFS(Апрель_2025[[#ALL],[Площадь (м²)]],Апрель_2025[[#ALL],[Филиал ТЦ]],B$98,Апрель_2025[[#ALL],[Категория]],$A105), "нет категории")</f>
        <v>14189.18919</v>
      </c>
      <c r="E105" s="62">
        <f>SUMIFS(Апрель_2025[[#ALL],[Площадь (м²)]],Апрель_2025[[#ALL],[Филиал ТЦ]],E$98,Апрель_2025[[#ALL],[Категория]],$A105)/SUMIFS(Апрель_2025[[#ALL],[Площадь (м²)]],Апрель_2025[[#ALL],[Филиал ТЦ]],E$98)</f>
        <v>0.2045036765</v>
      </c>
      <c r="F105" s="63">
        <f>IF(E105&gt;0, SUMIFS(Апрель_2025[[#ALL],[Выручка (руб/мес)]],Апрель_2025[[#ALL],[Филиал ТЦ]],E$98,Апрель_2025[[#ALL],[Категория]],$A105)/SUMIFS(Апрель_2025[[#ALL],[Продажи/мес]],Апрель_2025[[#ALL],[Филиал ТЦ]],E$98,Апрель_2025[[#ALL],[Категория]],$A105), "нет категории")</f>
        <v>61437.5</v>
      </c>
      <c r="G105" s="64">
        <f>IF(E105&gt;0,SUMIFS(Апрель_2025[[#ALL],[Выручка (руб/мес)]],Апрель_2025[[#ALL],[Филиал ТЦ]],E$98,Апрель_2025[[#ALL],[Категория]],$A105)/SUMIFS(Апрель_2025[[#ALL],[Площадь (м²)]],Апрель_2025[[#ALL],[Филиал ТЦ]],E$98,Апрель_2025[[#ALL],[Категория]],$A105), "нет категории")</f>
        <v>11044.94382</v>
      </c>
      <c r="H105" s="62">
        <f>SUMIFS(Апрель_2025[[#ALL],[Площадь (м²)]],Апрель_2025[[#ALL],[Филиал ТЦ]],H$98,Апрель_2025[[#ALL],[Категория]],$A105)/SUMIFS(Апрель_2025[[#ALL],[Площадь (м²)]],Апрель_2025[[#ALL],[Филиал ТЦ]],H$98)</f>
        <v>0.1326145553</v>
      </c>
      <c r="I105" s="63">
        <f>IF(H105&gt;0, SUMIFS(Апрель_2025[[#ALL],[Выручка (руб/мес)]],Апрель_2025[[#ALL],[Филиал ТЦ]],H$98,Апрель_2025[[#ALL],[Категория]],$A105)/SUMIFS(Апрель_2025[[#ALL],[Продажи/мес]],Апрель_2025[[#ALL],[Филиал ТЦ]],H$98,Апрель_2025[[#ALL],[Категория]],$A105), "нет категории")</f>
        <v>80689.65517</v>
      </c>
      <c r="J105" s="64">
        <f>IF(H105&gt;0, SUMIFS(Апрель_2025[[#ALL],[Выручка (руб/мес)]],Апрель_2025[[#ALL],[Филиал ТЦ]],H$98,Апрель_2025[[#ALL],[Категория]],$A105)/SUMIFS(Апрель_2025[[#ALL],[Площадь (м²)]],Апрель_2025[[#ALL],[Филиал ТЦ]],H$98,Апрель_2025[[#ALL],[Категория]],$A105), "нет категории")</f>
        <v>9512.195122</v>
      </c>
      <c r="K105" s="62">
        <f>SUMIFS(Апрель_2025[[#ALL],[Площадь (м²)]],Апрель_2025[[#ALL],[Филиал ТЦ]],K$98,Апрель_2025[[#ALL],[Категория]],$A105)/SUMIFS(Апрель_2025[[#ALL],[Площадь (м²)]],Апрель_2025[[#ALL],[Филиал ТЦ]],K$98)</f>
        <v>0.09270386266</v>
      </c>
      <c r="L105" s="63">
        <f>IF(K105&gt;0, SUMIFS(Апрель_2025[[#ALL],[Выручка (руб/мес)]],Апрель_2025[[#ALL],[Филиал ТЦ]],K$98,Апрель_2025[[#ALL],[Категория]],$A105)/SUMIFS(Апрель_2025[[#ALL],[Продажи/мес]],Апрель_2025[[#ALL],[Филиал ТЦ]],K$98,Апрель_2025[[#ALL],[Категория]],$A105), "нет категории")</f>
        <v>146851.8519</v>
      </c>
      <c r="M105" s="64">
        <f>IF(K105&gt;0, SUMIFS(Апрель_2025[[#ALL],[Выручка (руб/мес)]],Апрель_2025[[#ALL],[Филиал ТЦ]],K$98,Апрель_2025[[#ALL],[Категория]],$A105)/SUMIFS(Апрель_2025[[#ALL],[Площадь (м²)]],Апрель_2025[[#ALL],[Филиал ТЦ]],K$98,Апрель_2025[[#ALL],[Категория]],$A105), "нет категории")</f>
        <v>18356.48148</v>
      </c>
    </row>
    <row r="106" ht="19.5" customHeight="1">
      <c r="A106" s="61" t="s">
        <v>121</v>
      </c>
      <c r="B106" s="62">
        <f>SUMIFS(Апрель_2025[[#ALL],[Площадь (м²)]],Апрель_2025[[#ALL],[Филиал ТЦ]],B$98,Апрель_2025[[#ALL],[Категория]],$A106)/SUMIFS(Апрель_2025[[#ALL],[Площадь (м²)]],Апрель_2025[[#ALL],[Филиал ТЦ]],B$98)</f>
        <v>0.02570694087</v>
      </c>
      <c r="C106" s="63">
        <f>IF(B106&gt;0, SUMIFS(Апрель_2025[[#ALL],[Выручка (руб/мес)]],Апрель_2025[[#ALL],[Филиал ТЦ]],B$98,Апрель_2025[[#ALL],[Категория]],$A106)/SUMIFS(Апрель_2025[[#ALL],[Продажи/мес]],Апрель_2025[[#ALL],[Филиал ТЦ]],B$98,Апрель_2025[[#ALL],[Категория]],$A106), "нет категории")</f>
        <v>87083.33333</v>
      </c>
      <c r="D106" s="64">
        <f>IF(B106&gt;0, SUMIFS(Апрель_2025[[#ALL],[Выручка (руб/мес)]],Апрель_2025[[#ALL],[Филиал ТЦ]],B$98,Апрель_2025[[#ALL],[Категория]],$A106)/SUMIFS(Апрель_2025[[#ALL],[Площадь (м²)]],Апрель_2025[[#ALL],[Филиал ТЦ]],B$98,Апрель_2025[[#ALL],[Категория]],$A106), "нет категории")</f>
        <v>26125</v>
      </c>
      <c r="E106" s="62">
        <f>SUMIFS(Апрель_2025[[#ALL],[Площадь (м²)]],Апрель_2025[[#ALL],[Филиал ТЦ]],E$98,Апрель_2025[[#ALL],[Категория]],$A106)/SUMIFS(Апрель_2025[[#ALL],[Площадь (м²)]],Апрель_2025[[#ALL],[Филиал ТЦ]],E$98)</f>
        <v>0.08272058824</v>
      </c>
      <c r="F106" s="63">
        <f>IF(E106&gt;0, SUMIFS(Апрель_2025[[#ALL],[Выручка (руб/мес)]],Апрель_2025[[#ALL],[Филиал ТЦ]],E$98,Апрель_2025[[#ALL],[Категория]],$A106)/SUMIFS(Апрель_2025[[#ALL],[Продажи/мес]],Апрель_2025[[#ALL],[Филиал ТЦ]],E$98,Апрель_2025[[#ALL],[Категория]],$A106), "нет категории")</f>
        <v>480000</v>
      </c>
      <c r="G106" s="64">
        <f>IF(E106&gt;0,SUMIFS(Апрель_2025[[#ALL],[Выручка (руб/мес)]],Апрель_2025[[#ALL],[Филиал ТЦ]],E$98,Апрель_2025[[#ALL],[Категория]],$A106)/SUMIFS(Апрель_2025[[#ALL],[Площадь (м²)]],Апрель_2025[[#ALL],[Филиал ТЦ]],E$98,Апрель_2025[[#ALL],[Категория]],$A106), "нет категории")</f>
        <v>10666.66667</v>
      </c>
      <c r="H106" s="62">
        <f>SUMIFS(Апрель_2025[[#ALL],[Площадь (м²)]],Апрель_2025[[#ALL],[Филиал ТЦ]],H$98,Апрель_2025[[#ALL],[Категория]],$A106)/SUMIFS(Апрель_2025[[#ALL],[Площадь (м²)]],Апрель_2025[[#ALL],[Филиал ТЦ]],H$98)</f>
        <v>0.0539083558</v>
      </c>
      <c r="I106" s="63">
        <f>IF(H106&gt;0, SUMIFS(Апрель_2025[[#ALL],[Выручка (руб/мес)]],Апрель_2025[[#ALL],[Филиал ТЦ]],H$98,Апрель_2025[[#ALL],[Категория]],$A106)/SUMIFS(Апрель_2025[[#ALL],[Продажи/мес]],Апрель_2025[[#ALL],[Филиал ТЦ]],H$98,Апрель_2025[[#ALL],[Категория]],$A106), "нет категории")</f>
        <v>29750</v>
      </c>
      <c r="J106" s="64">
        <f>IF(H106&gt;0, SUMIFS(Апрель_2025[[#ALL],[Выручка (руб/мес)]],Апрель_2025[[#ALL],[Филиал ТЦ]],H$98,Апрель_2025[[#ALL],[Категория]],$A106)/SUMIFS(Апрель_2025[[#ALL],[Площадь (м²)]],Апрель_2025[[#ALL],[Филиал ТЦ]],H$98,Апрель_2025[[#ALL],[Категория]],$A106), "нет категории")</f>
        <v>17850</v>
      </c>
      <c r="K106" s="62">
        <f>SUMIFS(Апрель_2025[[#ALL],[Площадь (м²)]],Апрель_2025[[#ALL],[Филиал ТЦ]],K$98,Апрель_2025[[#ALL],[Категория]],$A106)/SUMIFS(Апрель_2025[[#ALL],[Площадь (м²)]],Апрель_2025[[#ALL],[Филиал ТЦ]],K$98)</f>
        <v>0.01931330472</v>
      </c>
      <c r="L106" s="63">
        <f>IF(K106&gt;0, SUMIFS(Апрель_2025[[#ALL],[Выручка (руб/мес)]],Апрель_2025[[#ALL],[Филиал ТЦ]],K$98,Апрель_2025[[#ALL],[Категория]],$A106)/SUMIFS(Апрель_2025[[#ALL],[Продажи/мес]],Апрель_2025[[#ALL],[Филиал ТЦ]],K$98,Апрель_2025[[#ALL],[Категория]],$A106), "нет категории")</f>
        <v>24000</v>
      </c>
      <c r="M106" s="64">
        <f>IF(K106&gt;0, SUMIFS(Апрель_2025[[#ALL],[Выручка (руб/мес)]],Апрель_2025[[#ALL],[Филиал ТЦ]],K$98,Апрель_2025[[#ALL],[Категория]],$A106)/SUMIFS(Апрель_2025[[#ALL],[Площадь (м²)]],Апрель_2025[[#ALL],[Филиал ТЦ]],K$98,Апрель_2025[[#ALL],[Категория]],$A106), "нет категории")</f>
        <v>37333.33333</v>
      </c>
    </row>
    <row r="107" ht="19.5" customHeight="1">
      <c r="A107" s="61" t="s">
        <v>57</v>
      </c>
      <c r="B107" s="62">
        <f>SUMIFS(Апрель_2025[[#ALL],[Площадь (м²)]],Апрель_2025[[#ALL],[Филиал ТЦ]],B$98,Апрель_2025[[#ALL],[Категория]],$A107)/SUMIFS(Апрель_2025[[#ALL],[Площадь (м²)]],Апрель_2025[[#ALL],[Филиал ТЦ]],B$98)</f>
        <v>0.2538560411</v>
      </c>
      <c r="C107" s="63">
        <f>IF(B107&gt;0, SUMIFS(Апрель_2025[[#ALL],[Выручка (руб/мес)]],Апрель_2025[[#ALL],[Филиал ТЦ]],B$98,Апрель_2025[[#ALL],[Категория]],$A107)/SUMIFS(Апрель_2025[[#ALL],[Продажи/мес]],Апрель_2025[[#ALL],[Филиал ТЦ]],B$98,Апрель_2025[[#ALL],[Категория]],$A107), "нет категории")</f>
        <v>69763.77953</v>
      </c>
      <c r="D107" s="64">
        <f>IF(B107&gt;0, SUMIFS(Апрель_2025[[#ALL],[Выручка (руб/мес)]],Апрель_2025[[#ALL],[Филиал ТЦ]],B$98,Апрель_2025[[#ALL],[Категория]],$A107)/SUMIFS(Апрель_2025[[#ALL],[Площадь (м²)]],Апрель_2025[[#ALL],[Филиал ТЦ]],B$98,Апрель_2025[[#ALL],[Категория]],$A107), "нет категории")</f>
        <v>11215.18987</v>
      </c>
      <c r="E107" s="62">
        <f>SUMIFS(Апрель_2025[[#ALL],[Площадь (м²)]],Апрель_2025[[#ALL],[Филиал ТЦ]],E$98,Апрель_2025[[#ALL],[Категория]],$A107)/SUMIFS(Апрель_2025[[#ALL],[Площадь (м²)]],Апрель_2025[[#ALL],[Филиал ТЦ]],E$98)</f>
        <v>0</v>
      </c>
      <c r="F107" s="63" t="str">
        <f>IF(E107&gt;0, SUMIFS(Апрель_2025[[#ALL],[Выручка (руб/мес)]],Апрель_2025[[#ALL],[Филиал ТЦ]],E$98,Апрель_2025[[#ALL],[Категория]],$A107)/SUMIFS(Апрель_2025[[#ALL],[Продажи/мес]],Апрель_2025[[#ALL],[Филиал ТЦ]],E$98,Апрель_2025[[#ALL],[Категория]],$A107), "нет категории")</f>
        <v>нет категории</v>
      </c>
      <c r="G107" s="64" t="str">
        <f>IF(E107&gt;0,SUMIFS(Апрель_2025[[#ALL],[Выручка (руб/мес)]],Апрель_2025[[#ALL],[Филиал ТЦ]],E$98,Апрель_2025[[#ALL],[Категория]],$A107)/SUMIFS(Апрель_2025[[#ALL],[Площадь (м²)]],Апрель_2025[[#ALL],[Филиал ТЦ]],E$98,Апрель_2025[[#ALL],[Категория]],$A107), "нет категории")</f>
        <v>нет категории</v>
      </c>
      <c r="H107" s="62">
        <f>SUMIFS(Апрель_2025[[#ALL],[Площадь (м²)]],Апрель_2025[[#ALL],[Филиал ТЦ]],H$98,Апрель_2025[[#ALL],[Категория]],$A107)/SUMIFS(Апрель_2025[[#ALL],[Площадь (м²)]],Апрель_2025[[#ALL],[Филиал ТЦ]],H$98)</f>
        <v>0</v>
      </c>
      <c r="I107" s="63" t="str">
        <f>IF(H107&gt;0, SUMIFS(Апрель_2025[[#ALL],[Выручка (руб/мес)]],Апрель_2025[[#ALL],[Филиал ТЦ]],H$98,Апрель_2025[[#ALL],[Категория]],$A107)/SUMIFS(Апрель_2025[[#ALL],[Продажи/мес]],Апрель_2025[[#ALL],[Филиал ТЦ]],H$98,Апрель_2025[[#ALL],[Категория]],$A107), "нет категории")</f>
        <v>нет категории</v>
      </c>
      <c r="J107" s="64" t="str">
        <f>IF(H107&gt;0, SUMIFS(Апрель_2025[[#ALL],[Выручка (руб/мес)]],Апрель_2025[[#ALL],[Филиал ТЦ]],H$98,Апрель_2025[[#ALL],[Категория]],$A107)/SUMIFS(Апрель_2025[[#ALL],[Площадь (м²)]],Апрель_2025[[#ALL],[Филиал ТЦ]],H$98,Апрель_2025[[#ALL],[Категория]],$A107), "нет категории")</f>
        <v>нет категории</v>
      </c>
      <c r="K107" s="62">
        <f>SUMIFS(Апрель_2025[[#ALL],[Площадь (м²)]],Апрель_2025[[#ALL],[Филиал ТЦ]],K$98,Апрель_2025[[#ALL],[Категория]],$A107)/SUMIFS(Апрель_2025[[#ALL],[Площадь (м²)]],Апрель_2025[[#ALL],[Филиал ТЦ]],K$98)</f>
        <v>0.05879828326</v>
      </c>
      <c r="L107" s="63">
        <f>IF(K107&gt;0, SUMIFS(Апрель_2025[[#ALL],[Выручка (руб/мес)]],Апрель_2025[[#ALL],[Филиал ТЦ]],K$98,Апрель_2025[[#ALL],[Категория]],$A107)/SUMIFS(Апрель_2025[[#ALL],[Продажи/мес]],Апрель_2025[[#ALL],[Филиал ТЦ]],K$98,Апрель_2025[[#ALL],[Категория]],$A107), "нет категории")</f>
        <v>34521.73913</v>
      </c>
      <c r="M107" s="64">
        <f>IF(K107&gt;0, SUMIFS(Апрель_2025[[#ALL],[Выручка (руб/мес)]],Апрель_2025[[#ALL],[Филиал ТЦ]],K$98,Апрель_2025[[#ALL],[Категория]],$A107)/SUMIFS(Апрель_2025[[#ALL],[Площадь (м²)]],Апрель_2025[[#ALL],[Филиал ТЦ]],K$98,Апрель_2025[[#ALL],[Категория]],$A107), "нет категории")</f>
        <v>5795.620438</v>
      </c>
    </row>
    <row r="108" ht="19.5" customHeight="1">
      <c r="A108" s="61" t="s">
        <v>158</v>
      </c>
      <c r="B108" s="62">
        <f>SUMIFS(Апрель_2025[[#ALL],[Площадь (м²)]],Апрель_2025[[#ALL],[Филиал ТЦ]],B$98,Апрель_2025[[#ALL],[Категория]],$A108)/SUMIFS(Апрель_2025[[#ALL],[Площадь (м²)]],Апрель_2025[[#ALL],[Филиал ТЦ]],B$98)</f>
        <v>0.02892030848</v>
      </c>
      <c r="C108" s="63">
        <f>IF(B108&gt;0, SUMIFS(Апрель_2025[[#ALL],[Выручка (руб/мес)]],Апрель_2025[[#ALL],[Филиал ТЦ]],B$98,Апрель_2025[[#ALL],[Категория]],$A108)/SUMIFS(Апрель_2025[[#ALL],[Продажи/мес]],Апрель_2025[[#ALL],[Филиал ТЦ]],B$98,Апрель_2025[[#ALL],[Категория]],$A108), "нет категории")</f>
        <v>12000</v>
      </c>
      <c r="D108" s="64">
        <f>IF(B108&gt;0, SUMIFS(Апрель_2025[[#ALL],[Выручка (руб/мес)]],Апрель_2025[[#ALL],[Филиал ТЦ]],B$98,Апрель_2025[[#ALL],[Категория]],$A108)/SUMIFS(Апрель_2025[[#ALL],[Площадь (м²)]],Апрель_2025[[#ALL],[Филиал ТЦ]],B$98,Апрель_2025[[#ALL],[Категория]],$A108), "нет категории")</f>
        <v>3333.333333</v>
      </c>
      <c r="E108" s="62">
        <f>SUMIFS(Апрель_2025[[#ALL],[Площадь (м²)]],Апрель_2025[[#ALL],[Филиал ТЦ]],E$98,Апрель_2025[[#ALL],[Категория]],$A108)/SUMIFS(Апрель_2025[[#ALL],[Площадь (м²)]],Апрель_2025[[#ALL],[Филиал ТЦ]],E$98)</f>
        <v>0.03676470588</v>
      </c>
      <c r="F108" s="63">
        <f>IF(E108&gt;0, SUMIFS(Апрель_2025[[#ALL],[Выручка (руб/мес)]],Апрель_2025[[#ALL],[Филиал ТЦ]],E$98,Апрель_2025[[#ALL],[Категория]],$A108)/SUMIFS(Апрель_2025[[#ALL],[Продажи/мес]],Апрель_2025[[#ALL],[Филиал ТЦ]],E$98,Апрель_2025[[#ALL],[Категория]],$A108), "нет категории")</f>
        <v>11904.7619</v>
      </c>
      <c r="G108" s="64">
        <f>IF(E108&gt;0,SUMIFS(Апрель_2025[[#ALL],[Выручка (руб/мес)]],Апрель_2025[[#ALL],[Филиал ТЦ]],E$98,Апрель_2025[[#ALL],[Категория]],$A108)/SUMIFS(Апрель_2025[[#ALL],[Площадь (м²)]],Апрель_2025[[#ALL],[Филиал ТЦ]],E$98,Апрель_2025[[#ALL],[Категория]],$A108), "нет категории")</f>
        <v>3125</v>
      </c>
      <c r="H108" s="62">
        <f>SUMIFS(Апрель_2025[[#ALL],[Площадь (м²)]],Апрель_2025[[#ALL],[Филиал ТЦ]],H$98,Апрель_2025[[#ALL],[Категория]],$A108)/SUMIFS(Апрель_2025[[#ALL],[Площадь (м²)]],Апрель_2025[[#ALL],[Филиал ТЦ]],H$98)</f>
        <v>0.03773584906</v>
      </c>
      <c r="I108" s="63">
        <f>IF(H108&gt;0, SUMIFS(Апрель_2025[[#ALL],[Выручка (руб/мес)]],Апрель_2025[[#ALL],[Филиал ТЦ]],H$98,Апрель_2025[[#ALL],[Категория]],$A108)/SUMIFS(Апрель_2025[[#ALL],[Продажи/мес]],Апрель_2025[[#ALL],[Филиал ТЦ]],H$98,Апрель_2025[[#ALL],[Категория]],$A108), "нет категории")</f>
        <v>8478.26087</v>
      </c>
      <c r="J108" s="64">
        <f>IF(H108&gt;0, SUMIFS(Апрель_2025[[#ALL],[Выручка (руб/мес)]],Апрель_2025[[#ALL],[Филиал ТЦ]],H$98,Апрель_2025[[#ALL],[Категория]],$A108)/SUMIFS(Апрель_2025[[#ALL],[Площадь (м²)]],Апрель_2025[[#ALL],[Филиал ТЦ]],H$98,Апрель_2025[[#ALL],[Категория]],$A108), "нет категории")</f>
        <v>2785.714286</v>
      </c>
      <c r="K108" s="62">
        <f>SUMIFS(Апрель_2025[[#ALL],[Площадь (м²)]],Апрель_2025[[#ALL],[Филиал ТЦ]],K$98,Апрель_2025[[#ALL],[Категория]],$A108)/SUMIFS(Апрель_2025[[#ALL],[Площадь (м²)]],Апрель_2025[[#ALL],[Филиал ТЦ]],K$98)</f>
        <v>0.02575107296</v>
      </c>
      <c r="L108" s="63">
        <f>IF(K108&gt;0, SUMIFS(Апрель_2025[[#ALL],[Выручка (руб/мес)]],Апрель_2025[[#ALL],[Филиал ТЦ]],K$98,Апрель_2025[[#ALL],[Категория]],$A108)/SUMIFS(Апрель_2025[[#ALL],[Продажи/мес]],Апрель_2025[[#ALL],[Филиал ТЦ]],K$98,Апрель_2025[[#ALL],[Категория]],$A108), "нет категории")</f>
        <v>20000</v>
      </c>
      <c r="M108" s="64">
        <f>IF(K108&gt;0, SUMIFS(Апрель_2025[[#ALL],[Выручка (руб/мес)]],Апрель_2025[[#ALL],[Филиал ТЦ]],K$98,Апрель_2025[[#ALL],[Категория]],$A108)/SUMIFS(Апрель_2025[[#ALL],[Площадь (м²)]],Апрель_2025[[#ALL],[Филиал ТЦ]],K$98,Апрель_2025[[#ALL],[Категория]],$A108), "нет категории")</f>
        <v>3333.333333</v>
      </c>
    </row>
    <row r="109" ht="19.5" customHeight="1">
      <c r="A109" s="61" t="s">
        <v>12</v>
      </c>
      <c r="B109" s="62">
        <f>SUMIFS(Апрель_2025[[#ALL],[Площадь (м²)]],Апрель_2025[[#ALL],[Филиал ТЦ]],B$98,Апрель_2025[[#ALL],[Категория]],$A109)/SUMIFS(Апрель_2025[[#ALL],[Площадь (м²)]],Апрель_2025[[#ALL],[Филиал ТЦ]],B$98)</f>
        <v>0.04820051414</v>
      </c>
      <c r="C109" s="63">
        <f>IF(B109&gt;0, SUMIFS(Апрель_2025[[#ALL],[Выручка (руб/мес)]],Апрель_2025[[#ALL],[Филиал ТЦ]],B$98,Апрель_2025[[#ALL],[Категория]],$A109)/SUMIFS(Апрель_2025[[#ALL],[Продажи/мес]],Апрель_2025[[#ALL],[Филиал ТЦ]],B$98,Апрель_2025[[#ALL],[Категория]],$A109), "нет категории")</f>
        <v>15937.5</v>
      </c>
      <c r="D109" s="64">
        <f>IF(B109&gt;0, SUMIFS(Апрель_2025[[#ALL],[Выручка (руб/мес)]],Апрель_2025[[#ALL],[Филиал ТЦ]],B$98,Апрель_2025[[#ALL],[Категория]],$A109)/SUMIFS(Апрель_2025[[#ALL],[Площадь (м²)]],Апрель_2025[[#ALL],[Филиал ТЦ]],B$98,Апрель_2025[[#ALL],[Категория]],$A109), "нет категории")</f>
        <v>8500</v>
      </c>
      <c r="E109" s="62">
        <f>SUMIFS(Апрель_2025[[#ALL],[Площадь (м²)]],Апрель_2025[[#ALL],[Филиал ТЦ]],E$98,Апрель_2025[[#ALL],[Категория]],$A109)/SUMIFS(Апрель_2025[[#ALL],[Площадь (м²)]],Апрель_2025[[#ALL],[Филиал ТЦ]],E$98)</f>
        <v>0.06433823529</v>
      </c>
      <c r="F109" s="63">
        <f>IF(E109&gt;0, SUMIFS(Апрель_2025[[#ALL],[Выручка (руб/мес)]],Апрель_2025[[#ALL],[Филиал ТЦ]],E$98,Апрель_2025[[#ALL],[Категория]],$A109)/SUMIFS(Апрель_2025[[#ALL],[Продажи/мес]],Апрель_2025[[#ALL],[Филиал ТЦ]],E$98,Апрель_2025[[#ALL],[Категория]],$A109), "нет категории")</f>
        <v>15202.7027</v>
      </c>
      <c r="G109" s="64">
        <f>IF(E109&gt;0,SUMIFS(Апрель_2025[[#ALL],[Выручка (руб/мес)]],Апрель_2025[[#ALL],[Филиал ТЦ]],E$98,Апрель_2025[[#ALL],[Категория]],$A109)/SUMIFS(Апрель_2025[[#ALL],[Площадь (м²)]],Апрель_2025[[#ALL],[Филиал ТЦ]],E$98,Апрель_2025[[#ALL],[Категория]],$A109), "нет категории")</f>
        <v>8035.714286</v>
      </c>
      <c r="H109" s="62">
        <f>SUMIFS(Апрель_2025[[#ALL],[Площадь (м²)]],Апрель_2025[[#ALL],[Филиал ТЦ]],H$98,Апрель_2025[[#ALL],[Категория]],$A109)/SUMIFS(Апрель_2025[[#ALL],[Площадь (м²)]],Апрель_2025[[#ALL],[Филиал ТЦ]],H$98)</f>
        <v>0.07008086253</v>
      </c>
      <c r="I109" s="63">
        <f>IF(H109&gt;0, SUMIFS(Апрель_2025[[#ALL],[Выручка (руб/мес)]],Апрель_2025[[#ALL],[Филиал ТЦ]],H$98,Апрель_2025[[#ALL],[Категория]],$A109)/SUMIFS(Апрель_2025[[#ALL],[Продажи/мес]],Апрель_2025[[#ALL],[Филиал ТЦ]],H$98,Апрель_2025[[#ALL],[Категория]],$A109), "нет категории")</f>
        <v>16525.42373</v>
      </c>
      <c r="J109" s="64">
        <f>IF(H109&gt;0, SUMIFS(Апрель_2025[[#ALL],[Выручка (руб/мес)]],Апрель_2025[[#ALL],[Филиал ТЦ]],H$98,Апрель_2025[[#ALL],[Категория]],$A109)/SUMIFS(Апрель_2025[[#ALL],[Площадь (м²)]],Апрель_2025[[#ALL],[Филиал ТЦ]],H$98,Апрель_2025[[#ALL],[Категория]],$A109), "нет категории")</f>
        <v>7500</v>
      </c>
      <c r="K109" s="62">
        <f>SUMIFS(Апрель_2025[[#ALL],[Площадь (м²)]],Апрель_2025[[#ALL],[Филиал ТЦ]],K$98,Апрель_2025[[#ALL],[Категория]],$A109)/SUMIFS(Апрель_2025[[#ALL],[Площадь (м²)]],Апрель_2025[[#ALL],[Филиал ТЦ]],K$98)</f>
        <v>0.05150214592</v>
      </c>
      <c r="L109" s="63">
        <f>IF(K109&gt;0, SUMIFS(Апрель_2025[[#ALL],[Выручка (руб/мес)]],Апрель_2025[[#ALL],[Филиал ТЦ]],K$98,Апрель_2025[[#ALL],[Категория]],$A109)/SUMIFS(Апрель_2025[[#ALL],[Продажи/мес]],Апрель_2025[[#ALL],[Филиал ТЦ]],K$98,Апрель_2025[[#ALL],[Категория]],$A109), "нет категории")</f>
        <v>16666.66667</v>
      </c>
      <c r="M109" s="64">
        <f>IF(K109&gt;0, SUMIFS(Апрель_2025[[#ALL],[Выручка (руб/мес)]],Апрель_2025[[#ALL],[Филиал ТЦ]],K$98,Апрель_2025[[#ALL],[Категория]],$A109)/SUMIFS(Апрель_2025[[#ALL],[Площадь (м²)]],Апрель_2025[[#ALL],[Филиал ТЦ]],K$98,Апрель_2025[[#ALL],[Категория]],$A109), "нет категории")</f>
        <v>7500</v>
      </c>
    </row>
    <row r="110" ht="19.5" customHeight="1">
      <c r="A110" s="61" t="s">
        <v>149</v>
      </c>
      <c r="B110" s="62">
        <f>SUMIFS(Апрель_2025[[#ALL],[Площадь (м²)]],Апрель_2025[[#ALL],[Филиал ТЦ]],B$98,Апрель_2025[[#ALL],[Категория]],$A110)/SUMIFS(Апрель_2025[[#ALL],[Площадь (м²)]],Апрель_2025[[#ALL],[Филиал ТЦ]],B$98)</f>
        <v>0.04177377892</v>
      </c>
      <c r="C110" s="63">
        <f>IF(B110&gt;0, SUMIFS(Апрель_2025[[#ALL],[Выручка (руб/мес)]],Апрель_2025[[#ALL],[Филиал ТЦ]],B$98,Апрель_2025[[#ALL],[Категория]],$A110)/SUMIFS(Апрель_2025[[#ALL],[Продажи/мес]],Апрель_2025[[#ALL],[Филиал ТЦ]],B$98,Апрель_2025[[#ALL],[Категория]],$A110), "нет категории")</f>
        <v>26000</v>
      </c>
      <c r="D110" s="64">
        <f>IF(B110&gt;0, SUMIFS(Апрель_2025[[#ALL],[Выручка (руб/мес)]],Апрель_2025[[#ALL],[Филиал ТЦ]],B$98,Апрель_2025[[#ALL],[Категория]],$A110)/SUMIFS(Апрель_2025[[#ALL],[Площадь (м²)]],Апрель_2025[[#ALL],[Филиал ТЦ]],B$98,Апрель_2025[[#ALL],[Категория]],$A110), "нет категории")</f>
        <v>14000</v>
      </c>
      <c r="E110" s="62">
        <f>SUMIFS(Апрель_2025[[#ALL],[Площадь (м²)]],Апрель_2025[[#ALL],[Филиал ТЦ]],E$98,Апрель_2025[[#ALL],[Категория]],$A110)/SUMIFS(Апрель_2025[[#ALL],[Площадь (м²)]],Апрель_2025[[#ALL],[Филиал ТЦ]],E$98)</f>
        <v>0.05514705882</v>
      </c>
      <c r="F110" s="63">
        <f>IF(E110&gt;0, SUMIFS(Апрель_2025[[#ALL],[Выручка (руб/мес)]],Апрель_2025[[#ALL],[Филиал ТЦ]],E$98,Апрель_2025[[#ALL],[Категория]],$A110)/SUMIFS(Апрель_2025[[#ALL],[Продажи/мес]],Апрель_2025[[#ALL],[Филиал ТЦ]],E$98,Апрель_2025[[#ALL],[Категория]],$A110), "нет категории")</f>
        <v>222857.1429</v>
      </c>
      <c r="G110" s="64">
        <f>IF(E110&gt;0,SUMIFS(Апрель_2025[[#ALL],[Выручка (руб/мес)]],Апрель_2025[[#ALL],[Филиал ТЦ]],E$98,Апрель_2025[[#ALL],[Категория]],$A110)/SUMIFS(Апрель_2025[[#ALL],[Площадь (м²)]],Апрель_2025[[#ALL],[Филиал ТЦ]],E$98,Апрель_2025[[#ALL],[Категория]],$A110), "нет категории")</f>
        <v>130000</v>
      </c>
      <c r="H110" s="62">
        <f>SUMIFS(Апрель_2025[[#ALL],[Площадь (м²)]],Апрель_2025[[#ALL],[Филиал ТЦ]],H$98,Апрель_2025[[#ALL],[Категория]],$A110)/SUMIFS(Апрель_2025[[#ALL],[Площадь (м²)]],Апрель_2025[[#ALL],[Филиал ТЦ]],H$98)</f>
        <v>0.05929919137</v>
      </c>
      <c r="I110" s="63">
        <f>IF(H110&gt;0, SUMIFS(Апрель_2025[[#ALL],[Выручка (руб/мес)]],Апрель_2025[[#ALL],[Филиал ТЦ]],H$98,Апрель_2025[[#ALL],[Категория]],$A110)/SUMIFS(Апрель_2025[[#ALL],[Продажи/мес]],Апрель_2025[[#ALL],[Филиал ТЦ]],H$98,Апрель_2025[[#ALL],[Категория]],$A110), "нет категории")</f>
        <v>24444.44444</v>
      </c>
      <c r="J110" s="64">
        <f>IF(H110&gt;0, SUMIFS(Апрель_2025[[#ALL],[Выручка (руб/мес)]],Апрель_2025[[#ALL],[Филиал ТЦ]],H$98,Апрель_2025[[#ALL],[Категория]],$A110)/SUMIFS(Апрель_2025[[#ALL],[Площадь (м²)]],Апрель_2025[[#ALL],[Филиал ТЦ]],H$98,Апрель_2025[[#ALL],[Категория]],$A110), "нет категории")</f>
        <v>12000</v>
      </c>
      <c r="K110" s="62">
        <f>SUMIFS(Апрель_2025[[#ALL],[Площадь (м²)]],Апрель_2025[[#ALL],[Филиал ТЦ]],K$98,Апрель_2025[[#ALL],[Категория]],$A110)/SUMIFS(Апрель_2025[[#ALL],[Площадь (м²)]],Апрель_2025[[#ALL],[Филиал ТЦ]],K$98)</f>
        <v>0.04291845494</v>
      </c>
      <c r="L110" s="63">
        <f>IF(K110&gt;0, SUMIFS(Апрель_2025[[#ALL],[Выручка (руб/мес)]],Апрель_2025[[#ALL],[Филиал ТЦ]],K$98,Апрель_2025[[#ALL],[Категория]],$A110)/SUMIFS(Апрель_2025[[#ALL],[Продажи/мес]],Апрель_2025[[#ALL],[Филиал ТЦ]],K$98,Апрель_2025[[#ALL],[Категория]],$A110), "нет категории")</f>
        <v>22000</v>
      </c>
      <c r="M110" s="64">
        <f>IF(K110&gt;0, SUMIFS(Апрель_2025[[#ALL],[Выручка (руб/мес)]],Апрель_2025[[#ALL],[Филиал ТЦ]],K$98,Апрель_2025[[#ALL],[Категория]],$A110)/SUMIFS(Апрель_2025[[#ALL],[Площадь (м²)]],Апрель_2025[[#ALL],[Филиал ТЦ]],K$98,Апрель_2025[[#ALL],[Категория]],$A110), "нет категории")</f>
        <v>12100</v>
      </c>
    </row>
    <row r="111" ht="19.5" customHeight="1">
      <c r="A111" s="61" t="s">
        <v>137</v>
      </c>
      <c r="B111" s="62">
        <f>SUMIFS(Апрель_2025[[#ALL],[Площадь (м²)]],Апрель_2025[[#ALL],[Филиал ТЦ]],B$98,Апрель_2025[[#ALL],[Категория]],$A111)/SUMIFS(Апрель_2025[[#ALL],[Площадь (м²)]],Апрель_2025[[#ALL],[Филиал ТЦ]],B$98)</f>
        <v>0</v>
      </c>
      <c r="C111" s="63" t="str">
        <f>IF(B111&gt;0, SUMIFS(Апрель_2025[[#ALL],[Выручка (руб/мес)]],Апрель_2025[[#ALL],[Филиал ТЦ]],B$98,Апрель_2025[[#ALL],[Категория]],$A111)/SUMIFS(Апрель_2025[[#ALL],[Продажи/мес]],Апрель_2025[[#ALL],[Филиал ТЦ]],B$98,Апрель_2025[[#ALL],[Категория]],$A111), "нет категории")</f>
        <v>нет категории</v>
      </c>
      <c r="D111" s="64" t="str">
        <f>IF(B111&gt;0, SUMIFS(Апрель_2025[[#ALL],[Выручка (руб/мес)]],Апрель_2025[[#ALL],[Филиал ТЦ]],B$98,Апрель_2025[[#ALL],[Категория]],$A111)/SUMIFS(Апрель_2025[[#ALL],[Площадь (м²)]],Апрель_2025[[#ALL],[Филиал ТЦ]],B$98,Апрель_2025[[#ALL],[Категория]],$A111), "нет категории")</f>
        <v>нет категории</v>
      </c>
      <c r="E111" s="62">
        <f>SUMIFS(Апрель_2025[[#ALL],[Площадь (м²)]],Апрель_2025[[#ALL],[Филиал ТЦ]],E$98,Апрель_2025[[#ALL],[Категория]],$A111)/SUMIFS(Апрель_2025[[#ALL],[Площадь (м²)]],Апрель_2025[[#ALL],[Филиал ТЦ]],E$98)</f>
        <v>0</v>
      </c>
      <c r="F111" s="63" t="str">
        <f>IF(E111&gt;0, SUMIFS(Апрель_2025[[#ALL],[Выручка (руб/мес)]],Апрель_2025[[#ALL],[Филиал ТЦ]],E$98,Апрель_2025[[#ALL],[Категория]],$A111)/SUMIFS(Апрель_2025[[#ALL],[Продажи/мес]],Апрель_2025[[#ALL],[Филиал ТЦ]],E$98,Апрель_2025[[#ALL],[Категория]],$A111), "нет категории")</f>
        <v>нет категории</v>
      </c>
      <c r="G111" s="64" t="str">
        <f>IF(E111&gt;0,SUMIFS(Апрель_2025[[#ALL],[Выручка (руб/мес)]],Апрель_2025[[#ALL],[Филиал ТЦ]],E$98,Апрель_2025[[#ALL],[Категория]],$A111)/SUMIFS(Апрель_2025[[#ALL],[Площадь (м²)]],Апрель_2025[[#ALL],[Филиал ТЦ]],E$98,Апрель_2025[[#ALL],[Категория]],$A111), "нет категории")</f>
        <v>нет категории</v>
      </c>
      <c r="H111" s="62">
        <f>SUMIFS(Апрель_2025[[#ALL],[Площадь (м²)]],Апрель_2025[[#ALL],[Филиал ТЦ]],H$98,Апрель_2025[[#ALL],[Категория]],$A111)/SUMIFS(Апрель_2025[[#ALL],[Площадь (м²)]],Апрель_2025[[#ALL],[Филиал ТЦ]],H$98)</f>
        <v>0</v>
      </c>
      <c r="I111" s="63" t="str">
        <f>IF(H111&gt;0, SUMIFS(Апрель_2025[[#ALL],[Выручка (руб/мес)]],Апрель_2025[[#ALL],[Филиал ТЦ]],H$98,Апрель_2025[[#ALL],[Категория]],$A111)/SUMIFS(Апрель_2025[[#ALL],[Продажи/мес]],Апрель_2025[[#ALL],[Филиал ТЦ]],H$98,Апрель_2025[[#ALL],[Категория]],$A111), "нет категории")</f>
        <v>нет категории</v>
      </c>
      <c r="J111" s="64" t="str">
        <f>IF(H111&gt;0, SUMIFS(Апрель_2025[[#ALL],[Выручка (руб/мес)]],Апрель_2025[[#ALL],[Филиал ТЦ]],H$98,Апрель_2025[[#ALL],[Категория]],$A111)/SUMIFS(Апрель_2025[[#ALL],[Площадь (м²)]],Апрель_2025[[#ALL],[Филиал ТЦ]],H$98,Апрель_2025[[#ALL],[Категория]],$A111), "нет категории")</f>
        <v>нет категории</v>
      </c>
      <c r="K111" s="62">
        <f>SUMIFS(Апрель_2025[[#ALL],[Площадь (м²)]],Апрель_2025[[#ALL],[Филиал ТЦ]],K$98,Апрель_2025[[#ALL],[Категория]],$A111)/SUMIFS(Апрель_2025[[#ALL],[Площадь (м²)]],Апрель_2025[[#ALL],[Филиал ТЦ]],K$98)</f>
        <v>0.186695279</v>
      </c>
      <c r="L111" s="63" t="str">
        <f>IF(K111&gt;0, SUMIFS(Апрель_2025[[#ALL],[Выручка (руб/мес)]],Апрель_2025[[#ALL],[Филиал ТЦ]],K$98,Апрель_2025[[#ALL],[Категория]],$A111)/SUMIFS(Апрель_2025[[#ALL],[Продажи/мес]],Апрель_2025[[#ALL],[Филиал ТЦ]],K$98,Апрель_2025[[#ALL],[Категория]],$A111), "нет категории")</f>
        <v>#DIV/0!</v>
      </c>
      <c r="M111" s="64">
        <f>IF(K111&gt;0, SUMIFS(Апрель_2025[[#ALL],[Выручка (руб/мес)]],Апрель_2025[[#ALL],[Филиал ТЦ]],K$98,Апрель_2025[[#ALL],[Категория]],$A111)/SUMIFS(Апрель_2025[[#ALL],[Площадь (м²)]],Апрель_2025[[#ALL],[Филиал ТЦ]],K$98,Апрель_2025[[#ALL],[Категория]],$A111), "нет категории")</f>
        <v>0</v>
      </c>
    </row>
    <row r="112">
      <c r="A112" s="31"/>
      <c r="B112" s="31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</row>
    <row r="113">
      <c r="A113" s="31"/>
      <c r="B113" s="31"/>
      <c r="C113" s="28"/>
      <c r="D113" s="31"/>
      <c r="E113" s="28"/>
      <c r="F113" s="32"/>
      <c r="H113" s="28"/>
      <c r="I113" s="28"/>
      <c r="J113" s="28"/>
      <c r="K113" s="28"/>
      <c r="L113" s="28"/>
      <c r="M113" s="28"/>
    </row>
  </sheetData>
  <mergeCells count="4">
    <mergeCell ref="B98:D98"/>
    <mergeCell ref="E98:G98"/>
    <mergeCell ref="H98:J98"/>
    <mergeCell ref="K98:M98"/>
  </mergeCells>
  <conditionalFormatting sqref="C100:C111 F100:F111 I100:I111 L100:L111">
    <cfRule type="colorScale" priority="1">
      <colorScale>
        <cfvo type="min"/>
        <cfvo type="max"/>
        <color rgb="FFFFFFFF"/>
        <color rgb="FFCCCCCC"/>
      </colorScale>
    </cfRule>
  </conditionalFormatting>
  <conditionalFormatting sqref="C100:C111 F100:F111 I100:I111 L100:L111">
    <cfRule type="colorScale" priority="2">
      <colorScale>
        <cfvo type="min"/>
        <cfvo type="max"/>
        <color rgb="FFFFFFFF"/>
        <color rgb="FFCCCCCC"/>
      </colorScale>
    </cfRule>
  </conditionalFormatting>
  <conditionalFormatting sqref="I100:I111 L100:L111">
    <cfRule type="colorScale" priority="3">
      <colorScale>
        <cfvo type="min"/>
        <cfvo type="max"/>
        <color rgb="FFFFFFFF"/>
        <color rgb="FFD9D9D9"/>
      </colorScale>
    </cfRule>
  </conditionalFormatting>
  <conditionalFormatting sqref="L100:L111">
    <cfRule type="colorScale" priority="4">
      <colorScale>
        <cfvo type="min"/>
        <cfvo type="max"/>
        <color rgb="FFFFFFFF"/>
        <color rgb="FFD9D9D9"/>
      </colorScale>
    </cfRule>
  </conditionalFormatting>
  <conditionalFormatting sqref="D100:D111 G100:G111 J100:J111 M100:M111">
    <cfRule type="colorScale" priority="5">
      <colorScale>
        <cfvo type="min"/>
        <cfvo type="max"/>
        <color rgb="FFFFFFFF"/>
        <color rgb="FFD9EAD3"/>
      </colorScale>
    </cfRule>
  </conditionalFormatting>
  <conditionalFormatting sqref="D100:D111 G100:G112 J100:J111 M100:M111">
    <cfRule type="colorScale" priority="6">
      <colorScale>
        <cfvo type="min"/>
        <cfvo type="max"/>
        <color rgb="FFFFFFFF"/>
        <color rgb="FFD9EAD3"/>
      </colorScale>
    </cfRule>
  </conditionalFormatting>
  <conditionalFormatting sqref="J100:J111 M100:M111">
    <cfRule type="colorScale" priority="7">
      <colorScale>
        <cfvo type="min"/>
        <cfvo type="max"/>
        <color rgb="FFFFFFFF"/>
        <color rgb="FFD9EAD3"/>
      </colorScale>
    </cfRule>
  </conditionalFormatting>
  <conditionalFormatting sqref="M100:M111">
    <cfRule type="colorScale" priority="8">
      <colorScale>
        <cfvo type="min"/>
        <cfvo type="max"/>
        <color rgb="FFFFFFFF"/>
        <color rgb="FFD9EAD3"/>
      </colorScale>
    </cfRule>
  </conditionalFormatting>
  <conditionalFormatting sqref="B100:B111 K100:K111">
    <cfRule type="colorScale" priority="9">
      <colorScale>
        <cfvo type="min"/>
        <cfvo type="max"/>
        <color rgb="FFFFFFFF"/>
        <color rgb="FFD9E2F3"/>
      </colorScale>
    </cfRule>
  </conditionalFormatting>
  <conditionalFormatting sqref="E100:E111">
    <cfRule type="colorScale" priority="10">
      <colorScale>
        <cfvo type="min"/>
        <cfvo type="max"/>
        <color rgb="FFFFFFFF"/>
        <color rgb="FFD9E2F3"/>
      </colorScale>
    </cfRule>
  </conditionalFormatting>
  <conditionalFormatting sqref="H100:H111">
    <cfRule type="colorScale" priority="11">
      <colorScale>
        <cfvo type="min"/>
        <cfvo type="max"/>
        <color rgb="FFFFFFFF"/>
        <color rgb="FFD9E2F3"/>
      </colorScale>
    </cfRule>
  </conditionalFormatting>
  <conditionalFormatting sqref="K100:K111">
    <cfRule type="colorScale" priority="12">
      <colorScale>
        <cfvo type="min"/>
        <cfvo type="max"/>
        <color rgb="FFFFFFFF"/>
        <color rgb="FFD9E2F3"/>
      </colorScale>
    </cfRule>
  </conditionalFormatting>
  <dataValidations>
    <dataValidation type="list" allowBlank="1" sqref="A2:A80">
      <formula1>"Мебельный Плаза,Гранд Интерьер,Дом Будущего,Уютный Квартал"</formula1>
    </dataValidation>
    <dataValidation type="list" allowBlank="1" sqref="A91:A94">
      <formula1>"Мебельный Плаза,Гранд Интерьер,Дом Будущего,Уютный Квартал"</formula1>
    </dataValidation>
    <dataValidation type="list" allowBlank="1" sqref="D2:D80">
      <formula1>"Кухонная мебель,Мягкая мебель,Столы и стулья,Предметы интерьера,Детская мебель,Корпусная мебель,Офисная мебель,Кровати и матрасы,Уличная мебель,Двери,Техника,Пустой"</formula1>
    </dataValidation>
    <dataValidation type="custom" allowBlank="1" showDropDown="1" sqref="E2:I80 B91:B94 F91:I94">
      <formula1>AND(ISNUMBER(B2),(NOT(OR(NOT(ISERROR(DATEVALUE(B2))), AND(ISNUMBER(B2), LEFT(CELL("format", B2))="D")))))</formula1>
    </dataValidation>
  </dataValidations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43"/>
    <col customWidth="1" min="2" max="2" width="18.29"/>
    <col customWidth="1" min="3" max="3" width="22.14"/>
    <col customWidth="1" min="4" max="4" width="23.43"/>
    <col customWidth="1" min="5" max="5" width="20.29"/>
    <col customWidth="1" min="6" max="6" width="20.57"/>
    <col customWidth="1" min="7" max="7" width="19.0"/>
    <col customWidth="1" min="8" max="8" width="20.29"/>
    <col customWidth="1" min="9" max="9" width="23.29"/>
    <col customWidth="1" min="10" max="10" width="14.29"/>
    <col customWidth="1" min="11" max="11" width="17.14"/>
    <col customWidth="1" min="12" max="12" width="18.14"/>
    <col customWidth="1" min="13" max="13" width="17.29"/>
  </cols>
  <sheetData>
    <row r="1">
      <c r="A1" s="1" t="s">
        <v>0</v>
      </c>
      <c r="B1" s="1" t="s">
        <v>1</v>
      </c>
      <c r="C1" s="1" t="s">
        <v>178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s">
        <v>10</v>
      </c>
      <c r="C2" s="3" t="s">
        <v>11</v>
      </c>
      <c r="D2" s="4" t="s">
        <v>12</v>
      </c>
      <c r="E2" s="5">
        <v>401.0</v>
      </c>
      <c r="F2" s="5">
        <v>140.0</v>
      </c>
      <c r="G2" s="5">
        <v>71.0</v>
      </c>
      <c r="H2" s="6">
        <v>1060000.0</v>
      </c>
      <c r="I2" s="7">
        <v>15000.0</v>
      </c>
    </row>
    <row r="3">
      <c r="A3" s="2" t="s">
        <v>13</v>
      </c>
      <c r="B3" s="3" t="s">
        <v>14</v>
      </c>
      <c r="C3" s="3" t="s">
        <v>15</v>
      </c>
      <c r="D3" s="4" t="s">
        <v>12</v>
      </c>
      <c r="E3" s="5">
        <v>102.0</v>
      </c>
      <c r="F3" s="5">
        <v>130.0</v>
      </c>
      <c r="G3" s="5">
        <v>65.0</v>
      </c>
      <c r="H3" s="6">
        <v>1100000.0</v>
      </c>
      <c r="I3" s="7">
        <v>0.0</v>
      </c>
    </row>
    <row r="4">
      <c r="A4" s="2" t="s">
        <v>16</v>
      </c>
      <c r="B4" s="3" t="s">
        <v>17</v>
      </c>
      <c r="C4" s="3" t="s">
        <v>18</v>
      </c>
      <c r="D4" s="4" t="s">
        <v>12</v>
      </c>
      <c r="E4" s="5">
        <v>201.0</v>
      </c>
      <c r="F4" s="5">
        <v>150.0</v>
      </c>
      <c r="G4" s="5">
        <v>85.0</v>
      </c>
      <c r="H4" s="6">
        <v>1275000.0</v>
      </c>
      <c r="I4" s="7">
        <v>0.0</v>
      </c>
    </row>
    <row r="5">
      <c r="A5" s="2" t="s">
        <v>19</v>
      </c>
      <c r="B5" s="3" t="s">
        <v>20</v>
      </c>
      <c r="C5" s="3" t="s">
        <v>21</v>
      </c>
      <c r="D5" s="4" t="s">
        <v>12</v>
      </c>
      <c r="E5" s="5">
        <v>319.0</v>
      </c>
      <c r="F5" s="5">
        <v>120.0</v>
      </c>
      <c r="G5" s="5">
        <v>60.0</v>
      </c>
      <c r="H5" s="6">
        <v>900000.0</v>
      </c>
      <c r="I5" s="7">
        <v>0.0</v>
      </c>
    </row>
    <row r="6">
      <c r="A6" s="2" t="s">
        <v>9</v>
      </c>
      <c r="B6" s="3" t="s">
        <v>22</v>
      </c>
      <c r="C6" s="3" t="s">
        <v>23</v>
      </c>
      <c r="D6" s="4" t="s">
        <v>24</v>
      </c>
      <c r="E6" s="5">
        <v>403.0</v>
      </c>
      <c r="F6" s="5">
        <v>130.0</v>
      </c>
      <c r="G6" s="5">
        <v>59.0</v>
      </c>
      <c r="H6" s="6">
        <v>1000000.0</v>
      </c>
      <c r="I6" s="7">
        <v>60000.0</v>
      </c>
    </row>
    <row r="7">
      <c r="A7" s="8" t="s">
        <v>9</v>
      </c>
      <c r="B7" s="3" t="s">
        <v>25</v>
      </c>
      <c r="C7" s="9" t="s">
        <v>26</v>
      </c>
      <c r="D7" s="10" t="s">
        <v>24</v>
      </c>
      <c r="E7" s="5">
        <v>405.0</v>
      </c>
      <c r="F7" s="11">
        <v>50.0</v>
      </c>
      <c r="G7" s="11">
        <v>5.0</v>
      </c>
      <c r="H7" s="12">
        <v>790000.0</v>
      </c>
      <c r="I7" s="13">
        <v>0.0</v>
      </c>
    </row>
    <row r="8">
      <c r="A8" s="2" t="s">
        <v>13</v>
      </c>
      <c r="B8" s="3" t="s">
        <v>27</v>
      </c>
      <c r="C8" s="3" t="s">
        <v>28</v>
      </c>
      <c r="D8" s="4" t="s">
        <v>24</v>
      </c>
      <c r="E8" s="5">
        <v>104.0</v>
      </c>
      <c r="F8" s="5">
        <v>96.0</v>
      </c>
      <c r="G8" s="5">
        <v>15.0</v>
      </c>
      <c r="H8" s="6">
        <v>990000.0</v>
      </c>
      <c r="I8" s="7">
        <v>30000.0</v>
      </c>
    </row>
    <row r="9">
      <c r="A9" s="14" t="s">
        <v>13</v>
      </c>
      <c r="B9" s="3" t="s">
        <v>29</v>
      </c>
      <c r="C9" s="9" t="s">
        <v>30</v>
      </c>
      <c r="D9" s="10" t="s">
        <v>24</v>
      </c>
      <c r="E9" s="5">
        <v>106.0</v>
      </c>
      <c r="F9" s="11">
        <v>53.0</v>
      </c>
      <c r="G9" s="11">
        <v>4.0</v>
      </c>
      <c r="H9" s="12">
        <v>680000.0</v>
      </c>
      <c r="I9" s="13">
        <v>0.0</v>
      </c>
    </row>
    <row r="10">
      <c r="A10" s="2" t="s">
        <v>16</v>
      </c>
      <c r="B10" s="3" t="s">
        <v>31</v>
      </c>
      <c r="C10" s="3" t="s">
        <v>26</v>
      </c>
      <c r="D10" s="4" t="s">
        <v>24</v>
      </c>
      <c r="E10" s="5">
        <v>202.0</v>
      </c>
      <c r="F10" s="5">
        <v>140.0</v>
      </c>
      <c r="G10" s="5">
        <v>10.0</v>
      </c>
      <c r="H10" s="6">
        <v>1190000.0</v>
      </c>
      <c r="I10" s="7">
        <v>0.0</v>
      </c>
    </row>
    <row r="11">
      <c r="A11" s="15" t="s">
        <v>16</v>
      </c>
      <c r="B11" s="3" t="s">
        <v>32</v>
      </c>
      <c r="C11" s="16" t="s">
        <v>33</v>
      </c>
      <c r="D11" s="10" t="s">
        <v>24</v>
      </c>
      <c r="E11" s="5">
        <v>203.0</v>
      </c>
      <c r="F11" s="11">
        <v>91.0</v>
      </c>
      <c r="G11" s="11">
        <v>26.0</v>
      </c>
      <c r="H11" s="12">
        <v>1500000.0</v>
      </c>
      <c r="I11" s="13">
        <v>0.0</v>
      </c>
    </row>
    <row r="12">
      <c r="A12" s="17" t="s">
        <v>19</v>
      </c>
      <c r="B12" s="3" t="s">
        <v>36</v>
      </c>
      <c r="C12" s="9" t="s">
        <v>37</v>
      </c>
      <c r="D12" s="10" t="s">
        <v>24</v>
      </c>
      <c r="E12" s="5">
        <v>317.0</v>
      </c>
      <c r="F12" s="11">
        <v>42.0</v>
      </c>
      <c r="G12" s="11">
        <v>3.0</v>
      </c>
      <c r="H12" s="12">
        <v>560000.0</v>
      </c>
      <c r="I12" s="13">
        <v>0.0</v>
      </c>
    </row>
    <row r="13">
      <c r="A13" s="2" t="s">
        <v>19</v>
      </c>
      <c r="B13" s="3" t="s">
        <v>34</v>
      </c>
      <c r="C13" s="3" t="s">
        <v>35</v>
      </c>
      <c r="D13" s="4" t="s">
        <v>24</v>
      </c>
      <c r="E13" s="5">
        <v>318.0</v>
      </c>
      <c r="F13" s="5">
        <v>110.0</v>
      </c>
      <c r="G13" s="5">
        <v>50.0</v>
      </c>
      <c r="H13" s="6">
        <v>900000.0</v>
      </c>
      <c r="I13" s="7">
        <v>0.0</v>
      </c>
    </row>
    <row r="14">
      <c r="A14" s="2" t="s">
        <v>9</v>
      </c>
      <c r="B14" s="3" t="s">
        <v>38</v>
      </c>
      <c r="C14" s="3" t="s">
        <v>39</v>
      </c>
      <c r="D14" s="4" t="s">
        <v>40</v>
      </c>
      <c r="E14" s="5">
        <v>419.0</v>
      </c>
      <c r="F14" s="5">
        <v>190.0</v>
      </c>
      <c r="G14" s="5">
        <v>43.0</v>
      </c>
      <c r="H14" s="6">
        <v>2415000.0</v>
      </c>
      <c r="I14" s="7">
        <v>0.0</v>
      </c>
    </row>
    <row r="15">
      <c r="A15" s="2" t="s">
        <v>9</v>
      </c>
      <c r="B15" s="3" t="s">
        <v>41</v>
      </c>
      <c r="C15" s="3" t="s">
        <v>42</v>
      </c>
      <c r="D15" s="4" t="s">
        <v>40</v>
      </c>
      <c r="E15" s="5">
        <v>430.0</v>
      </c>
      <c r="F15" s="5">
        <v>255.0</v>
      </c>
      <c r="G15" s="5">
        <v>37.0</v>
      </c>
      <c r="H15" s="6">
        <v>2500000.0</v>
      </c>
      <c r="I15" s="7">
        <v>24670.0</v>
      </c>
    </row>
    <row r="16">
      <c r="A16" s="2" t="s">
        <v>13</v>
      </c>
      <c r="B16" s="3" t="s">
        <v>43</v>
      </c>
      <c r="C16" s="3" t="s">
        <v>44</v>
      </c>
      <c r="D16" s="4" t="s">
        <v>40</v>
      </c>
      <c r="E16" s="5">
        <v>120.0</v>
      </c>
      <c r="F16" s="5">
        <v>180.0</v>
      </c>
      <c r="G16" s="5">
        <v>29.0</v>
      </c>
      <c r="H16" s="6">
        <v>2160000.0</v>
      </c>
      <c r="I16" s="7">
        <v>120000.0</v>
      </c>
    </row>
    <row r="17">
      <c r="A17" s="2" t="s">
        <v>13</v>
      </c>
      <c r="B17" s="3" t="s">
        <v>45</v>
      </c>
      <c r="C17" s="16" t="s">
        <v>46</v>
      </c>
      <c r="D17" s="4" t="s">
        <v>40</v>
      </c>
      <c r="E17" s="5">
        <v>135.0</v>
      </c>
      <c r="F17" s="5">
        <v>66.0</v>
      </c>
      <c r="G17" s="5">
        <v>6.0</v>
      </c>
      <c r="H17" s="6">
        <v>540000.0</v>
      </c>
      <c r="I17" s="7">
        <v>12400.0</v>
      </c>
    </row>
    <row r="18">
      <c r="A18" s="2" t="s">
        <v>16</v>
      </c>
      <c r="B18" s="3" t="s">
        <v>47</v>
      </c>
      <c r="C18" s="3" t="s">
        <v>48</v>
      </c>
      <c r="D18" s="4" t="s">
        <v>40</v>
      </c>
      <c r="E18" s="5">
        <v>210.0</v>
      </c>
      <c r="F18" s="5">
        <v>200.0</v>
      </c>
      <c r="G18" s="5">
        <v>34.0</v>
      </c>
      <c r="H18" s="6">
        <v>2400000.0</v>
      </c>
      <c r="I18" s="7">
        <v>0.0</v>
      </c>
    </row>
    <row r="19">
      <c r="A19" s="2" t="s">
        <v>16</v>
      </c>
      <c r="B19" s="3" t="s">
        <v>49</v>
      </c>
      <c r="C19" s="16" t="s">
        <v>50</v>
      </c>
      <c r="D19" s="4" t="s">
        <v>40</v>
      </c>
      <c r="E19" s="5">
        <v>220.0</v>
      </c>
      <c r="F19" s="5">
        <v>96.0</v>
      </c>
      <c r="G19" s="5">
        <v>18.0</v>
      </c>
      <c r="H19" s="6">
        <v>1800000.0</v>
      </c>
      <c r="I19" s="7">
        <v>18460.0</v>
      </c>
    </row>
    <row r="20">
      <c r="A20" s="2" t="s">
        <v>19</v>
      </c>
      <c r="B20" s="3" t="s">
        <v>51</v>
      </c>
      <c r="C20" s="3" t="s">
        <v>52</v>
      </c>
      <c r="D20" s="4" t="s">
        <v>40</v>
      </c>
      <c r="E20" s="5">
        <v>310.0</v>
      </c>
      <c r="F20" s="5">
        <v>170.0</v>
      </c>
      <c r="G20" s="5">
        <v>16.0</v>
      </c>
      <c r="H20" s="6">
        <v>2465000.0</v>
      </c>
      <c r="I20" s="7">
        <v>0.0</v>
      </c>
    </row>
    <row r="21">
      <c r="A21" s="2" t="s">
        <v>19</v>
      </c>
      <c r="B21" s="3" t="s">
        <v>53</v>
      </c>
      <c r="C21" s="16" t="s">
        <v>54</v>
      </c>
      <c r="D21" s="4" t="s">
        <v>40</v>
      </c>
      <c r="E21" s="5">
        <v>434.0</v>
      </c>
      <c r="F21" s="5">
        <v>46.0</v>
      </c>
      <c r="G21" s="5">
        <v>11.0</v>
      </c>
      <c r="H21" s="6">
        <v>1500000.0</v>
      </c>
      <c r="I21" s="7">
        <v>11900.0</v>
      </c>
    </row>
    <row r="22">
      <c r="A22" s="2" t="s">
        <v>16</v>
      </c>
      <c r="B22" s="3" t="s">
        <v>55</v>
      </c>
      <c r="C22" s="3" t="s">
        <v>56</v>
      </c>
      <c r="D22" s="4" t="s">
        <v>57</v>
      </c>
      <c r="E22" s="5">
        <v>204.0</v>
      </c>
      <c r="F22" s="5">
        <v>170.0</v>
      </c>
      <c r="G22" s="5">
        <v>80.0</v>
      </c>
      <c r="H22" s="6">
        <v>1360000.0</v>
      </c>
      <c r="I22" s="7">
        <v>0.0</v>
      </c>
    </row>
    <row r="23">
      <c r="A23" s="2" t="s">
        <v>16</v>
      </c>
      <c r="B23" s="3" t="s">
        <v>58</v>
      </c>
      <c r="C23" s="16" t="s">
        <v>59</v>
      </c>
      <c r="D23" s="4" t="s">
        <v>57</v>
      </c>
      <c r="E23" s="5">
        <v>205.0</v>
      </c>
      <c r="F23" s="5">
        <v>620.0</v>
      </c>
      <c r="G23" s="5">
        <v>47.0</v>
      </c>
      <c r="H23" s="6">
        <v>7500000.0</v>
      </c>
      <c r="I23" s="7">
        <v>0.0</v>
      </c>
    </row>
    <row r="24">
      <c r="A24" s="2" t="s">
        <v>19</v>
      </c>
      <c r="B24" s="3" t="s">
        <v>62</v>
      </c>
      <c r="C24" s="16" t="s">
        <v>59</v>
      </c>
      <c r="D24" s="4" t="s">
        <v>57</v>
      </c>
      <c r="E24" s="5">
        <v>315.0</v>
      </c>
      <c r="F24" s="5">
        <v>45.0</v>
      </c>
      <c r="G24" s="5">
        <v>14.0</v>
      </c>
      <c r="H24" s="6">
        <v>475000.0</v>
      </c>
      <c r="I24" s="7">
        <v>0.0</v>
      </c>
    </row>
    <row r="25">
      <c r="A25" s="2" t="s">
        <v>19</v>
      </c>
      <c r="B25" s="3" t="s">
        <v>60</v>
      </c>
      <c r="C25" s="3" t="s">
        <v>61</v>
      </c>
      <c r="D25" s="4" t="s">
        <v>57</v>
      </c>
      <c r="E25" s="5">
        <v>316.0</v>
      </c>
      <c r="F25" s="5">
        <v>92.0</v>
      </c>
      <c r="G25" s="5">
        <v>9.0</v>
      </c>
      <c r="H25" s="6">
        <v>319000.0</v>
      </c>
      <c r="I25" s="7">
        <v>0.0</v>
      </c>
    </row>
    <row r="26">
      <c r="A26" s="2" t="s">
        <v>9</v>
      </c>
      <c r="B26" s="3" t="s">
        <v>63</v>
      </c>
      <c r="C26" s="3" t="s">
        <v>64</v>
      </c>
      <c r="D26" s="4" t="s">
        <v>65</v>
      </c>
      <c r="E26" s="5">
        <v>431.0</v>
      </c>
      <c r="F26" s="5">
        <v>170.0</v>
      </c>
      <c r="G26" s="5">
        <v>27.0</v>
      </c>
      <c r="H26" s="6">
        <v>3500000.0</v>
      </c>
      <c r="I26" s="7">
        <v>0.0</v>
      </c>
    </row>
    <row r="27">
      <c r="A27" s="2" t="s">
        <v>9</v>
      </c>
      <c r="B27" s="3" t="s">
        <v>66</v>
      </c>
      <c r="C27" s="16" t="s">
        <v>67</v>
      </c>
      <c r="D27" s="4" t="s">
        <v>65</v>
      </c>
      <c r="E27" s="5">
        <v>433.0</v>
      </c>
      <c r="F27" s="18">
        <v>66.0</v>
      </c>
      <c r="G27" s="18">
        <v>2.0</v>
      </c>
      <c r="H27" s="19">
        <v>890000.0</v>
      </c>
      <c r="I27" s="20">
        <v>50000.0</v>
      </c>
    </row>
    <row r="28">
      <c r="A28" s="2" t="s">
        <v>9</v>
      </c>
      <c r="B28" s="3" t="s">
        <v>68</v>
      </c>
      <c r="C28" s="16" t="s">
        <v>69</v>
      </c>
      <c r="D28" s="4" t="s">
        <v>65</v>
      </c>
      <c r="E28" s="5">
        <v>435.0</v>
      </c>
      <c r="F28" s="18">
        <v>80.0</v>
      </c>
      <c r="G28" s="18">
        <v>2.0</v>
      </c>
      <c r="H28" s="19">
        <v>450000.0</v>
      </c>
      <c r="I28" s="20">
        <v>0.0</v>
      </c>
    </row>
    <row r="29">
      <c r="A29" s="2" t="s">
        <v>9</v>
      </c>
      <c r="B29" s="3" t="s">
        <v>70</v>
      </c>
      <c r="C29" s="16" t="s">
        <v>71</v>
      </c>
      <c r="D29" s="4" t="s">
        <v>65</v>
      </c>
      <c r="E29" s="5">
        <v>437.0</v>
      </c>
      <c r="F29" s="18">
        <v>45.0</v>
      </c>
      <c r="G29" s="18">
        <v>4.0</v>
      </c>
      <c r="H29" s="19">
        <v>75000.0</v>
      </c>
      <c r="I29" s="20">
        <v>45000.0</v>
      </c>
    </row>
    <row r="30">
      <c r="A30" s="2" t="s">
        <v>13</v>
      </c>
      <c r="B30" s="3" t="s">
        <v>72</v>
      </c>
      <c r="C30" s="3" t="s">
        <v>67</v>
      </c>
      <c r="D30" s="4" t="s">
        <v>65</v>
      </c>
      <c r="E30" s="5">
        <v>132.0</v>
      </c>
      <c r="F30" s="5">
        <v>160.0</v>
      </c>
      <c r="G30" s="5">
        <v>15.0</v>
      </c>
      <c r="H30" s="6">
        <v>2040000.0</v>
      </c>
      <c r="I30" s="7">
        <v>0.0</v>
      </c>
    </row>
    <row r="31">
      <c r="A31" s="2" t="s">
        <v>13</v>
      </c>
      <c r="B31" s="3" t="s">
        <v>73</v>
      </c>
      <c r="C31" s="16" t="s">
        <v>74</v>
      </c>
      <c r="D31" s="4" t="s">
        <v>65</v>
      </c>
      <c r="E31" s="5">
        <v>134.0</v>
      </c>
      <c r="F31" s="18">
        <v>15.0</v>
      </c>
      <c r="G31" s="18">
        <v>4.0</v>
      </c>
      <c r="H31" s="19">
        <v>90000.0</v>
      </c>
      <c r="I31" s="20">
        <v>0.0</v>
      </c>
    </row>
    <row r="32">
      <c r="A32" s="2" t="s">
        <v>13</v>
      </c>
      <c r="B32" s="3" t="s">
        <v>75</v>
      </c>
      <c r="C32" s="16" t="s">
        <v>67</v>
      </c>
      <c r="D32" s="4" t="s">
        <v>65</v>
      </c>
      <c r="E32" s="5">
        <v>136.0</v>
      </c>
      <c r="F32" s="18">
        <v>80.0</v>
      </c>
      <c r="G32" s="18">
        <v>9.0</v>
      </c>
      <c r="H32" s="19">
        <v>1350000.0</v>
      </c>
      <c r="I32" s="20">
        <v>0.0</v>
      </c>
    </row>
    <row r="33">
      <c r="A33" s="2" t="s">
        <v>13</v>
      </c>
      <c r="B33" s="3" t="s">
        <v>76</v>
      </c>
      <c r="C33" s="3" t="s">
        <v>77</v>
      </c>
      <c r="D33" s="4" t="s">
        <v>65</v>
      </c>
      <c r="E33" s="5">
        <v>138.0</v>
      </c>
      <c r="F33" s="18">
        <v>65.0</v>
      </c>
      <c r="G33" s="18">
        <v>1.0</v>
      </c>
      <c r="H33" s="19">
        <v>3000000.0</v>
      </c>
      <c r="I33" s="20">
        <v>0.0</v>
      </c>
    </row>
    <row r="34">
      <c r="A34" s="2" t="s">
        <v>16</v>
      </c>
      <c r="B34" s="3" t="s">
        <v>78</v>
      </c>
      <c r="C34" s="3" t="s">
        <v>79</v>
      </c>
      <c r="D34" s="4" t="s">
        <v>65</v>
      </c>
      <c r="E34" s="5">
        <v>216.0</v>
      </c>
      <c r="F34" s="5">
        <v>180.0</v>
      </c>
      <c r="G34" s="5">
        <v>31.0</v>
      </c>
      <c r="H34" s="6">
        <v>3420000.0</v>
      </c>
      <c r="I34" s="7">
        <v>900.0</v>
      </c>
    </row>
    <row r="35">
      <c r="A35" s="2" t="s">
        <v>16</v>
      </c>
      <c r="B35" s="3" t="s">
        <v>80</v>
      </c>
      <c r="C35" s="3" t="s">
        <v>81</v>
      </c>
      <c r="D35" s="4" t="s">
        <v>65</v>
      </c>
      <c r="E35" s="5">
        <v>217.0</v>
      </c>
      <c r="F35" s="18">
        <v>90.0</v>
      </c>
      <c r="G35" s="18">
        <v>4.0</v>
      </c>
      <c r="H35" s="19">
        <v>2400000.0</v>
      </c>
      <c r="I35" s="20">
        <v>0.0</v>
      </c>
    </row>
    <row r="36">
      <c r="A36" s="2" t="s">
        <v>16</v>
      </c>
      <c r="B36" s="3" t="s">
        <v>82</v>
      </c>
      <c r="C36" s="3" t="s">
        <v>77</v>
      </c>
      <c r="D36" s="4" t="s">
        <v>65</v>
      </c>
      <c r="E36" s="5">
        <v>218.0</v>
      </c>
      <c r="F36" s="18">
        <v>90.0</v>
      </c>
      <c r="G36" s="18">
        <v>5.0</v>
      </c>
      <c r="H36" s="19">
        <v>1200000.0</v>
      </c>
      <c r="I36" s="20">
        <v>0.0</v>
      </c>
    </row>
    <row r="37">
      <c r="A37" s="2" t="s">
        <v>16</v>
      </c>
      <c r="B37" s="3" t="s">
        <v>83</v>
      </c>
      <c r="C37" s="3" t="s">
        <v>84</v>
      </c>
      <c r="D37" s="4" t="s">
        <v>65</v>
      </c>
      <c r="E37" s="5">
        <v>219.0</v>
      </c>
      <c r="F37" s="18">
        <v>90.0</v>
      </c>
      <c r="G37" s="18">
        <v>2.0</v>
      </c>
      <c r="H37" s="19">
        <v>1750000.0</v>
      </c>
      <c r="I37" s="20">
        <v>50000.0</v>
      </c>
    </row>
    <row r="38">
      <c r="A38" s="2" t="s">
        <v>19</v>
      </c>
      <c r="B38" s="3" t="s">
        <v>90</v>
      </c>
      <c r="C38" s="3" t="s">
        <v>81</v>
      </c>
      <c r="D38" s="4" t="s">
        <v>65</v>
      </c>
      <c r="E38" s="5">
        <v>301.0</v>
      </c>
      <c r="F38" s="18">
        <v>60.0</v>
      </c>
      <c r="G38" s="18">
        <v>7.0</v>
      </c>
      <c r="H38" s="19">
        <v>900000.0</v>
      </c>
      <c r="I38" s="20">
        <v>0.0</v>
      </c>
    </row>
    <row r="39">
      <c r="A39" s="2" t="s">
        <v>19</v>
      </c>
      <c r="B39" s="3" t="s">
        <v>88</v>
      </c>
      <c r="C39" s="16" t="s">
        <v>89</v>
      </c>
      <c r="D39" s="4" t="s">
        <v>65</v>
      </c>
      <c r="E39" s="5">
        <v>302.0</v>
      </c>
      <c r="F39" s="18">
        <v>90.0</v>
      </c>
      <c r="G39" s="18">
        <v>19.0</v>
      </c>
      <c r="H39" s="19">
        <v>4200000.0</v>
      </c>
      <c r="I39" s="20">
        <v>0.0</v>
      </c>
    </row>
    <row r="40">
      <c r="A40" s="2" t="s">
        <v>19</v>
      </c>
      <c r="B40" s="3" t="s">
        <v>87</v>
      </c>
      <c r="C40" s="16" t="s">
        <v>69</v>
      </c>
      <c r="D40" s="4" t="s">
        <v>65</v>
      </c>
      <c r="E40" s="5">
        <v>303.0</v>
      </c>
      <c r="F40" s="18">
        <v>40.0</v>
      </c>
      <c r="G40" s="18">
        <v>1.0</v>
      </c>
      <c r="H40" s="19">
        <v>2100000.0</v>
      </c>
      <c r="I40" s="20">
        <v>40000.0</v>
      </c>
    </row>
    <row r="41">
      <c r="A41" s="2" t="s">
        <v>19</v>
      </c>
      <c r="B41" s="3" t="s">
        <v>85</v>
      </c>
      <c r="C41" s="3" t="s">
        <v>86</v>
      </c>
      <c r="D41" s="4" t="s">
        <v>65</v>
      </c>
      <c r="E41" s="5">
        <v>304.0</v>
      </c>
      <c r="F41" s="5">
        <v>150.0</v>
      </c>
      <c r="G41" s="5">
        <v>20.0</v>
      </c>
      <c r="H41" s="6">
        <v>1800000.0</v>
      </c>
      <c r="I41" s="7">
        <v>90000.0</v>
      </c>
    </row>
    <row r="42">
      <c r="A42" s="2" t="s">
        <v>9</v>
      </c>
      <c r="B42" s="3" t="s">
        <v>91</v>
      </c>
      <c r="C42" s="3" t="s">
        <v>92</v>
      </c>
      <c r="D42" s="4" t="s">
        <v>93</v>
      </c>
      <c r="E42" s="5">
        <v>411.0</v>
      </c>
      <c r="F42" s="5">
        <v>210.0</v>
      </c>
      <c r="G42" s="5">
        <v>105.0</v>
      </c>
      <c r="H42" s="6">
        <v>3400000.0</v>
      </c>
      <c r="I42" s="7">
        <v>0.0</v>
      </c>
    </row>
    <row r="43">
      <c r="A43" s="2" t="s">
        <v>9</v>
      </c>
      <c r="B43" s="3" t="s">
        <v>94</v>
      </c>
      <c r="C43" s="16" t="s">
        <v>95</v>
      </c>
      <c r="D43" s="4" t="s">
        <v>93</v>
      </c>
      <c r="E43" s="5">
        <v>413.0</v>
      </c>
      <c r="F43" s="5">
        <v>70.0</v>
      </c>
      <c r="G43" s="5">
        <v>15.0</v>
      </c>
      <c r="H43" s="6">
        <v>700000.0</v>
      </c>
      <c r="I43" s="7">
        <v>0.0</v>
      </c>
    </row>
    <row r="44">
      <c r="A44" s="2" t="s">
        <v>9</v>
      </c>
      <c r="B44" s="3" t="s">
        <v>96</v>
      </c>
      <c r="C44" s="16" t="s">
        <v>97</v>
      </c>
      <c r="D44" s="4" t="s">
        <v>93</v>
      </c>
      <c r="E44" s="5">
        <v>415.0</v>
      </c>
      <c r="F44" s="5">
        <v>70.0</v>
      </c>
      <c r="G44" s="5">
        <v>7.0</v>
      </c>
      <c r="H44" s="6">
        <v>5100000.0</v>
      </c>
      <c r="I44" s="7">
        <v>49000.0</v>
      </c>
    </row>
    <row r="45">
      <c r="A45" s="2" t="s">
        <v>9</v>
      </c>
      <c r="B45" s="3" t="s">
        <v>98</v>
      </c>
      <c r="C45" s="16" t="s">
        <v>99</v>
      </c>
      <c r="D45" s="4" t="s">
        <v>93</v>
      </c>
      <c r="E45" s="5">
        <v>417.0</v>
      </c>
      <c r="F45" s="5">
        <v>70.0</v>
      </c>
      <c r="G45" s="5">
        <v>6.0</v>
      </c>
      <c r="H45" s="6">
        <v>620000.0</v>
      </c>
      <c r="I45" s="7">
        <v>50000.0</v>
      </c>
    </row>
    <row r="46">
      <c r="A46" s="2" t="s">
        <v>13</v>
      </c>
      <c r="B46" s="3" t="s">
        <v>100</v>
      </c>
      <c r="C46" s="3" t="s">
        <v>101</v>
      </c>
      <c r="D46" s="4" t="s">
        <v>93</v>
      </c>
      <c r="E46" s="5">
        <v>112.0</v>
      </c>
      <c r="F46" s="5">
        <v>200.0</v>
      </c>
      <c r="G46" s="5">
        <v>90.0</v>
      </c>
      <c r="H46" s="6">
        <v>3420000.0</v>
      </c>
      <c r="I46" s="7">
        <v>200000.0</v>
      </c>
    </row>
    <row r="47">
      <c r="A47" s="2" t="s">
        <v>13</v>
      </c>
      <c r="B47" s="3" t="s">
        <v>102</v>
      </c>
      <c r="C47" s="16" t="s">
        <v>99</v>
      </c>
      <c r="D47" s="4" t="s">
        <v>93</v>
      </c>
      <c r="E47" s="5">
        <v>114.0</v>
      </c>
      <c r="F47" s="5">
        <v>50.0</v>
      </c>
      <c r="G47" s="5">
        <v>8.0</v>
      </c>
      <c r="H47" s="6">
        <v>760000.0</v>
      </c>
      <c r="I47" s="7">
        <v>0.0</v>
      </c>
    </row>
    <row r="48">
      <c r="A48" s="2" t="s">
        <v>13</v>
      </c>
      <c r="B48" s="3" t="s">
        <v>103</v>
      </c>
      <c r="C48" s="16" t="s">
        <v>104</v>
      </c>
      <c r="D48" s="4" t="s">
        <v>93</v>
      </c>
      <c r="E48" s="5">
        <v>116.0</v>
      </c>
      <c r="F48" s="5">
        <v>150.0</v>
      </c>
      <c r="G48" s="5">
        <v>4.0</v>
      </c>
      <c r="H48" s="6">
        <v>1500000.0</v>
      </c>
      <c r="I48" s="7">
        <v>0.0</v>
      </c>
    </row>
    <row r="49">
      <c r="A49" s="2" t="s">
        <v>13</v>
      </c>
      <c r="B49" s="3" t="s">
        <v>105</v>
      </c>
      <c r="C49" s="16" t="s">
        <v>106</v>
      </c>
      <c r="D49" s="4" t="s">
        <v>93</v>
      </c>
      <c r="E49" s="5">
        <v>118.0</v>
      </c>
      <c r="F49" s="5">
        <v>100.0</v>
      </c>
      <c r="G49" s="5">
        <v>32.0</v>
      </c>
      <c r="H49" s="6">
        <v>2100000.0</v>
      </c>
      <c r="I49" s="7">
        <v>0.0</v>
      </c>
    </row>
    <row r="50">
      <c r="A50" s="2" t="s">
        <v>16</v>
      </c>
      <c r="B50" s="3" t="s">
        <v>107</v>
      </c>
      <c r="C50" s="3" t="s">
        <v>108</v>
      </c>
      <c r="D50" s="4" t="s">
        <v>93</v>
      </c>
      <c r="E50" s="5">
        <v>206.0</v>
      </c>
      <c r="F50" s="5">
        <v>220.0</v>
      </c>
      <c r="G50" s="5">
        <v>110.0</v>
      </c>
      <c r="H50" s="6">
        <v>3850000.0</v>
      </c>
      <c r="I50" s="7">
        <v>0.0</v>
      </c>
    </row>
    <row r="51">
      <c r="A51" s="2" t="s">
        <v>16</v>
      </c>
      <c r="B51" s="3" t="s">
        <v>109</v>
      </c>
      <c r="C51" s="16" t="s">
        <v>97</v>
      </c>
      <c r="D51" s="4" t="s">
        <v>93</v>
      </c>
      <c r="E51" s="5">
        <v>207.0</v>
      </c>
      <c r="F51" s="5">
        <v>250.0</v>
      </c>
      <c r="G51" s="5">
        <v>4.0</v>
      </c>
      <c r="H51" s="6">
        <v>4000000.0</v>
      </c>
      <c r="I51" s="7">
        <v>78000.0</v>
      </c>
    </row>
    <row r="52">
      <c r="A52" s="2" t="s">
        <v>16</v>
      </c>
      <c r="B52" s="3" t="s">
        <v>110</v>
      </c>
      <c r="C52" s="3" t="s">
        <v>111</v>
      </c>
      <c r="D52" s="4" t="s">
        <v>93</v>
      </c>
      <c r="E52" s="5">
        <v>208.0</v>
      </c>
      <c r="F52" s="5">
        <v>45.0</v>
      </c>
      <c r="G52" s="5">
        <v>15.0</v>
      </c>
      <c r="H52" s="6">
        <v>1000000.0</v>
      </c>
      <c r="I52" s="7">
        <v>0.0</v>
      </c>
    </row>
    <row r="53">
      <c r="A53" s="2" t="s">
        <v>16</v>
      </c>
      <c r="B53" s="3" t="s">
        <v>112</v>
      </c>
      <c r="C53" s="16" t="s">
        <v>113</v>
      </c>
      <c r="D53" s="4" t="s">
        <v>93</v>
      </c>
      <c r="E53" s="5">
        <v>209.0</v>
      </c>
      <c r="F53" s="5">
        <v>110.0</v>
      </c>
      <c r="G53" s="5">
        <v>12.0</v>
      </c>
      <c r="H53" s="6">
        <v>760000.0</v>
      </c>
      <c r="I53" s="7">
        <v>24000.0</v>
      </c>
    </row>
    <row r="54">
      <c r="A54" s="2" t="s">
        <v>19</v>
      </c>
      <c r="B54" s="3" t="s">
        <v>118</v>
      </c>
      <c r="C54" s="16" t="s">
        <v>95</v>
      </c>
      <c r="D54" s="4" t="s">
        <v>93</v>
      </c>
      <c r="E54" s="5">
        <v>311.0</v>
      </c>
      <c r="F54" s="5">
        <v>65.0</v>
      </c>
      <c r="G54" s="5">
        <v>10.0</v>
      </c>
      <c r="H54" s="6">
        <v>500000.0</v>
      </c>
      <c r="I54" s="7">
        <v>25000.0</v>
      </c>
    </row>
    <row r="55">
      <c r="A55" s="2" t="s">
        <v>19</v>
      </c>
      <c r="B55" s="3" t="s">
        <v>117</v>
      </c>
      <c r="C55" s="16" t="s">
        <v>106</v>
      </c>
      <c r="D55" s="4" t="s">
        <v>93</v>
      </c>
      <c r="E55" s="5">
        <v>312.0</v>
      </c>
      <c r="F55" s="5">
        <v>90.0</v>
      </c>
      <c r="G55" s="5">
        <v>36.0</v>
      </c>
      <c r="H55" s="6">
        <v>2300000.0</v>
      </c>
      <c r="I55" s="7">
        <v>0.0</v>
      </c>
    </row>
    <row r="56">
      <c r="A56" s="2" t="s">
        <v>19</v>
      </c>
      <c r="B56" s="3" t="s">
        <v>116</v>
      </c>
      <c r="C56" s="16" t="s">
        <v>104</v>
      </c>
      <c r="D56" s="4" t="s">
        <v>93</v>
      </c>
      <c r="E56" s="5">
        <v>313.0</v>
      </c>
      <c r="F56" s="5">
        <v>120.0</v>
      </c>
      <c r="G56" s="5">
        <v>26.0</v>
      </c>
      <c r="H56" s="6">
        <v>1590000.0</v>
      </c>
      <c r="I56" s="7">
        <v>0.0</v>
      </c>
    </row>
    <row r="57">
      <c r="A57" s="2" t="s">
        <v>19</v>
      </c>
      <c r="B57" s="3" t="s">
        <v>114</v>
      </c>
      <c r="C57" s="3" t="s">
        <v>115</v>
      </c>
      <c r="D57" s="4" t="s">
        <v>93</v>
      </c>
      <c r="E57" s="5">
        <v>314.0</v>
      </c>
      <c r="F57" s="5">
        <v>190.0</v>
      </c>
      <c r="G57" s="5">
        <v>90.0</v>
      </c>
      <c r="H57" s="6">
        <v>3040000.0</v>
      </c>
      <c r="I57" s="7">
        <v>0.0</v>
      </c>
    </row>
    <row r="58">
      <c r="A58" s="2" t="s">
        <v>9</v>
      </c>
      <c r="B58" s="3" t="s">
        <v>119</v>
      </c>
      <c r="C58" s="3" t="s">
        <v>120</v>
      </c>
      <c r="D58" s="4" t="s">
        <v>121</v>
      </c>
      <c r="E58" s="5">
        <v>425.0</v>
      </c>
      <c r="F58" s="5">
        <v>180.0</v>
      </c>
      <c r="G58" s="5">
        <v>4.0</v>
      </c>
      <c r="H58" s="6">
        <v>1700000.0</v>
      </c>
      <c r="I58" s="7">
        <v>0.0</v>
      </c>
    </row>
    <row r="59">
      <c r="A59" s="2" t="s">
        <v>13</v>
      </c>
      <c r="B59" s="3" t="s">
        <v>122</v>
      </c>
      <c r="C59" s="3" t="s">
        <v>123</v>
      </c>
      <c r="D59" s="4" t="s">
        <v>121</v>
      </c>
      <c r="E59" s="5">
        <v>126.0</v>
      </c>
      <c r="F59" s="5">
        <v>100.0</v>
      </c>
      <c r="G59" s="5">
        <v>75.0</v>
      </c>
      <c r="H59" s="6">
        <v>1785000.0</v>
      </c>
      <c r="I59" s="7">
        <v>0.0</v>
      </c>
    </row>
    <row r="60">
      <c r="A60" s="2" t="s">
        <v>16</v>
      </c>
      <c r="B60" s="3" t="s">
        <v>124</v>
      </c>
      <c r="C60" s="3" t="s">
        <v>125</v>
      </c>
      <c r="D60" s="4" t="s">
        <v>121</v>
      </c>
      <c r="E60" s="5">
        <v>213.0</v>
      </c>
      <c r="F60" s="5">
        <v>80.0</v>
      </c>
      <c r="G60" s="5">
        <v>24.0</v>
      </c>
      <c r="H60" s="6">
        <v>2090000.0</v>
      </c>
      <c r="I60" s="7">
        <v>20000.0</v>
      </c>
    </row>
    <row r="61">
      <c r="A61" s="2" t="s">
        <v>19</v>
      </c>
      <c r="B61" s="3" t="s">
        <v>126</v>
      </c>
      <c r="C61" s="3" t="s">
        <v>127</v>
      </c>
      <c r="D61" s="4" t="s">
        <v>121</v>
      </c>
      <c r="E61" s="5">
        <v>307.0</v>
      </c>
      <c r="F61" s="5">
        <v>45.0</v>
      </c>
      <c r="G61" s="5">
        <v>70.0</v>
      </c>
      <c r="H61" s="6">
        <v>1680000.0</v>
      </c>
      <c r="I61" s="7">
        <v>0.0</v>
      </c>
    </row>
    <row r="62">
      <c r="A62" s="2" t="s">
        <v>9</v>
      </c>
      <c r="B62" s="3" t="s">
        <v>128</v>
      </c>
      <c r="C62" s="3" t="s">
        <v>129</v>
      </c>
      <c r="D62" s="4" t="s">
        <v>130</v>
      </c>
      <c r="E62" s="5">
        <v>423.0</v>
      </c>
      <c r="F62" s="5">
        <v>100.0</v>
      </c>
      <c r="G62" s="5">
        <v>41.0</v>
      </c>
      <c r="H62" s="6">
        <v>495000.0</v>
      </c>
      <c r="I62" s="7">
        <v>0.0</v>
      </c>
    </row>
    <row r="63">
      <c r="A63" s="2" t="s">
        <v>13</v>
      </c>
      <c r="B63" s="3" t="s">
        <v>131</v>
      </c>
      <c r="C63" s="3" t="s">
        <v>132</v>
      </c>
      <c r="D63" s="4" t="s">
        <v>130</v>
      </c>
      <c r="E63" s="5">
        <v>124.0</v>
      </c>
      <c r="F63" s="5">
        <v>90.0</v>
      </c>
      <c r="G63" s="5">
        <v>40.0</v>
      </c>
      <c r="H63" s="6">
        <v>440000.0</v>
      </c>
      <c r="I63" s="7">
        <v>0.0</v>
      </c>
    </row>
    <row r="64">
      <c r="A64" s="2" t="s">
        <v>16</v>
      </c>
      <c r="B64" s="3" t="s">
        <v>133</v>
      </c>
      <c r="C64" s="3" t="s">
        <v>134</v>
      </c>
      <c r="D64" s="4" t="s">
        <v>130</v>
      </c>
      <c r="E64" s="5">
        <v>212.0</v>
      </c>
      <c r="F64" s="5">
        <v>110.0</v>
      </c>
      <c r="G64" s="5">
        <v>50.0</v>
      </c>
      <c r="H64" s="6">
        <v>550000.0</v>
      </c>
      <c r="I64" s="7">
        <v>0.0</v>
      </c>
    </row>
    <row r="65">
      <c r="A65" s="2" t="s">
        <v>19</v>
      </c>
      <c r="B65" s="3" t="s">
        <v>135</v>
      </c>
      <c r="C65" s="3" t="s">
        <v>136</v>
      </c>
      <c r="D65" s="4" t="s">
        <v>130</v>
      </c>
      <c r="E65" s="5">
        <v>308.0</v>
      </c>
      <c r="F65" s="5">
        <v>80.0</v>
      </c>
      <c r="G65" s="5">
        <v>35.0</v>
      </c>
      <c r="H65" s="6">
        <v>385000.0</v>
      </c>
      <c r="I65" s="7">
        <v>0.0</v>
      </c>
    </row>
    <row r="66">
      <c r="A66" s="2" t="s">
        <v>19</v>
      </c>
      <c r="B66" s="3"/>
      <c r="C66" s="3"/>
      <c r="D66" s="4" t="s">
        <v>137</v>
      </c>
      <c r="E66" s="5">
        <v>320.0</v>
      </c>
      <c r="F66" s="18">
        <v>360.0</v>
      </c>
      <c r="G66" s="18"/>
      <c r="H66" s="19"/>
      <c r="I66" s="20"/>
    </row>
    <row r="67">
      <c r="A67" s="2" t="s">
        <v>19</v>
      </c>
      <c r="B67" s="3"/>
      <c r="C67" s="3"/>
      <c r="D67" s="4" t="s">
        <v>137</v>
      </c>
      <c r="E67" s="5">
        <v>322.0</v>
      </c>
      <c r="F67" s="18">
        <v>75.0</v>
      </c>
      <c r="G67" s="18"/>
      <c r="H67" s="19"/>
      <c r="I67" s="20"/>
    </row>
    <row r="68">
      <c r="A68" s="2" t="s">
        <v>9</v>
      </c>
      <c r="B68" s="3" t="s">
        <v>138</v>
      </c>
      <c r="C68" s="3" t="s">
        <v>139</v>
      </c>
      <c r="D68" s="4" t="s">
        <v>140</v>
      </c>
      <c r="E68" s="5">
        <v>427.0</v>
      </c>
      <c r="F68" s="5">
        <v>150.0</v>
      </c>
      <c r="G68" s="5">
        <v>75.0</v>
      </c>
      <c r="H68" s="6">
        <v>1200000.0</v>
      </c>
      <c r="I68" s="7">
        <v>10000.0</v>
      </c>
    </row>
    <row r="69">
      <c r="A69" s="2" t="s">
        <v>13</v>
      </c>
      <c r="B69" s="3" t="s">
        <v>141</v>
      </c>
      <c r="C69" s="3" t="s">
        <v>142</v>
      </c>
      <c r="D69" s="4" t="s">
        <v>140</v>
      </c>
      <c r="E69" s="5">
        <v>128.0</v>
      </c>
      <c r="F69" s="5">
        <v>140.0</v>
      </c>
      <c r="G69" s="5">
        <v>70.0</v>
      </c>
      <c r="H69" s="6">
        <v>1050000.0</v>
      </c>
      <c r="I69" s="7">
        <v>0.0</v>
      </c>
    </row>
    <row r="70">
      <c r="A70" s="2" t="s">
        <v>16</v>
      </c>
      <c r="B70" s="3" t="s">
        <v>143</v>
      </c>
      <c r="C70" s="3" t="s">
        <v>144</v>
      </c>
      <c r="D70" s="4" t="s">
        <v>140</v>
      </c>
      <c r="E70" s="5">
        <v>214.0</v>
      </c>
      <c r="F70" s="5">
        <v>160.0</v>
      </c>
      <c r="G70" s="5">
        <v>75.0</v>
      </c>
      <c r="H70" s="6">
        <v>1200000.0</v>
      </c>
      <c r="I70" s="7">
        <v>50000.0</v>
      </c>
    </row>
    <row r="71">
      <c r="A71" s="2" t="s">
        <v>19</v>
      </c>
      <c r="B71" s="3" t="s">
        <v>145</v>
      </c>
      <c r="C71" s="3" t="s">
        <v>146</v>
      </c>
      <c r="D71" s="4" t="s">
        <v>140</v>
      </c>
      <c r="E71" s="5">
        <v>306.0</v>
      </c>
      <c r="F71" s="5">
        <v>130.0</v>
      </c>
      <c r="G71" s="5">
        <v>65.0</v>
      </c>
      <c r="H71" s="6">
        <v>975000.0</v>
      </c>
      <c r="I71" s="7">
        <v>40000.0</v>
      </c>
    </row>
    <row r="72">
      <c r="A72" s="2" t="s">
        <v>19</v>
      </c>
      <c r="B72" s="3" t="s">
        <v>180</v>
      </c>
      <c r="C72" s="3" t="s">
        <v>179</v>
      </c>
      <c r="D72" s="4" t="s">
        <v>140</v>
      </c>
      <c r="E72" s="5">
        <v>321.0</v>
      </c>
      <c r="F72" s="18">
        <v>50.0</v>
      </c>
      <c r="G72" s="18">
        <v>29.0</v>
      </c>
      <c r="H72" s="19">
        <v>75000.0</v>
      </c>
      <c r="I72" s="20"/>
    </row>
    <row r="73">
      <c r="A73" s="2" t="s">
        <v>9</v>
      </c>
      <c r="B73" s="3" t="s">
        <v>147</v>
      </c>
      <c r="C73" s="3" t="s">
        <v>148</v>
      </c>
      <c r="D73" s="4" t="s">
        <v>149</v>
      </c>
      <c r="E73" s="5">
        <v>429.0</v>
      </c>
      <c r="F73" s="5">
        <v>120.0</v>
      </c>
      <c r="G73" s="5">
        <v>65.0</v>
      </c>
      <c r="H73" s="6">
        <v>1.4E7</v>
      </c>
      <c r="I73" s="7">
        <v>0.0</v>
      </c>
    </row>
    <row r="74">
      <c r="A74" s="2" t="s">
        <v>13</v>
      </c>
      <c r="B74" s="3" t="s">
        <v>150</v>
      </c>
      <c r="C74" s="3" t="s">
        <v>151</v>
      </c>
      <c r="D74" s="4" t="s">
        <v>149</v>
      </c>
      <c r="E74" s="5">
        <v>130.0</v>
      </c>
      <c r="F74" s="5">
        <v>110.0</v>
      </c>
      <c r="G74" s="5">
        <v>60.0</v>
      </c>
      <c r="H74" s="6">
        <v>1320000.0</v>
      </c>
      <c r="I74" s="7">
        <v>0.0</v>
      </c>
    </row>
    <row r="75">
      <c r="A75" s="2" t="s">
        <v>16</v>
      </c>
      <c r="B75" s="3" t="s">
        <v>152</v>
      </c>
      <c r="C75" s="3" t="s">
        <v>153</v>
      </c>
      <c r="D75" s="4" t="s">
        <v>149</v>
      </c>
      <c r="E75" s="5">
        <v>215.0</v>
      </c>
      <c r="F75" s="5">
        <v>130.0</v>
      </c>
      <c r="G75" s="5">
        <v>70.0</v>
      </c>
      <c r="H75" s="6">
        <v>1820000.0</v>
      </c>
      <c r="I75" s="7">
        <v>0.0</v>
      </c>
    </row>
    <row r="76">
      <c r="A76" s="2" t="s">
        <v>19</v>
      </c>
      <c r="B76" s="3" t="s">
        <v>154</v>
      </c>
      <c r="C76" s="3" t="s">
        <v>155</v>
      </c>
      <c r="D76" s="4" t="s">
        <v>149</v>
      </c>
      <c r="E76" s="5">
        <v>305.0</v>
      </c>
      <c r="F76" s="5">
        <v>100.0</v>
      </c>
      <c r="G76" s="5">
        <v>55.0</v>
      </c>
      <c r="H76" s="6">
        <v>1210000.0</v>
      </c>
      <c r="I76" s="7">
        <v>0.0</v>
      </c>
    </row>
    <row r="77">
      <c r="A77" s="2" t="s">
        <v>9</v>
      </c>
      <c r="B77" s="3" t="s">
        <v>156</v>
      </c>
      <c r="C77" s="3" t="s">
        <v>157</v>
      </c>
      <c r="D77" s="4" t="s">
        <v>158</v>
      </c>
      <c r="E77" s="5">
        <v>421.0</v>
      </c>
      <c r="F77" s="5">
        <v>80.0</v>
      </c>
      <c r="G77" s="5">
        <v>35.0</v>
      </c>
      <c r="H77" s="6">
        <v>302000.0</v>
      </c>
      <c r="I77" s="7">
        <v>0.0</v>
      </c>
    </row>
    <row r="78">
      <c r="A78" s="2" t="s">
        <v>13</v>
      </c>
      <c r="B78" s="3" t="s">
        <v>159</v>
      </c>
      <c r="C78" s="3" t="s">
        <v>160</v>
      </c>
      <c r="D78" s="4" t="s">
        <v>158</v>
      </c>
      <c r="E78" s="5">
        <v>122.0</v>
      </c>
      <c r="F78" s="5">
        <v>70.0</v>
      </c>
      <c r="G78" s="5">
        <v>30.0</v>
      </c>
      <c r="H78" s="6">
        <v>210000.0</v>
      </c>
      <c r="I78" s="7">
        <v>0.0</v>
      </c>
    </row>
    <row r="79">
      <c r="A79" s="2" t="s">
        <v>16</v>
      </c>
      <c r="B79" s="3" t="s">
        <v>161</v>
      </c>
      <c r="C79" s="3" t="s">
        <v>162</v>
      </c>
      <c r="D79" s="4" t="s">
        <v>158</v>
      </c>
      <c r="E79" s="5">
        <v>211.0</v>
      </c>
      <c r="F79" s="5">
        <v>90.0</v>
      </c>
      <c r="G79" s="5">
        <v>40.0</v>
      </c>
      <c r="H79" s="6">
        <v>360000.0</v>
      </c>
      <c r="I79" s="7">
        <v>0.0</v>
      </c>
    </row>
    <row r="80">
      <c r="A80" s="21" t="s">
        <v>19</v>
      </c>
      <c r="B80" s="22" t="s">
        <v>163</v>
      </c>
      <c r="C80" s="22" t="s">
        <v>164</v>
      </c>
      <c r="D80" s="23" t="s">
        <v>158</v>
      </c>
      <c r="E80" s="24">
        <v>309.0</v>
      </c>
      <c r="F80" s="25">
        <v>60.0</v>
      </c>
      <c r="G80" s="25">
        <v>25.0</v>
      </c>
      <c r="H80" s="26">
        <v>150000.0</v>
      </c>
      <c r="I80" s="27">
        <v>0.0</v>
      </c>
    </row>
    <row r="81">
      <c r="A81" s="28"/>
      <c r="B81" s="28"/>
      <c r="C81" s="28"/>
      <c r="D81" s="28"/>
      <c r="E81" s="28"/>
      <c r="F81" s="29"/>
      <c r="G81" s="29"/>
      <c r="H81" s="28"/>
      <c r="I81" s="28"/>
      <c r="J81" s="28"/>
      <c r="K81" s="28"/>
      <c r="L81" s="28"/>
      <c r="M81" s="28"/>
    </row>
    <row r="82">
      <c r="A82" s="28"/>
      <c r="B82" s="28"/>
      <c r="C82" s="28"/>
      <c r="D82" s="28"/>
      <c r="E82" s="28"/>
      <c r="F82" s="29"/>
      <c r="G82" s="29"/>
      <c r="H82" s="28"/>
      <c r="I82" s="30"/>
      <c r="J82" s="30"/>
      <c r="K82" s="30"/>
      <c r="L82" s="30"/>
      <c r="M82" s="30"/>
    </row>
    <row r="83">
      <c r="A83" s="28"/>
      <c r="B83" s="28"/>
      <c r="C83" s="28"/>
      <c r="D83" s="28"/>
      <c r="E83" s="28"/>
      <c r="F83" s="29"/>
      <c r="G83" s="29"/>
      <c r="H83" s="28"/>
      <c r="I83" s="30"/>
      <c r="J83" s="30"/>
      <c r="K83" s="30"/>
      <c r="L83" s="30"/>
      <c r="M83" s="30"/>
    </row>
    <row r="84">
      <c r="A84" s="31"/>
      <c r="B84" s="31"/>
      <c r="C84" s="31"/>
      <c r="D84" s="28"/>
      <c r="E84" s="31"/>
      <c r="F84" s="28"/>
      <c r="G84" s="32"/>
      <c r="H84" s="28"/>
      <c r="I84" s="28"/>
      <c r="J84" s="28"/>
      <c r="K84" s="28"/>
      <c r="L84" s="28"/>
      <c r="M84" s="28"/>
    </row>
    <row r="85">
      <c r="A85" s="31"/>
      <c r="B85" s="31"/>
      <c r="C85" s="31"/>
      <c r="D85" s="28"/>
      <c r="E85" s="31"/>
      <c r="F85" s="28"/>
      <c r="G85" s="32"/>
      <c r="H85" s="28"/>
      <c r="I85" s="28"/>
      <c r="J85" s="28"/>
      <c r="K85" s="28"/>
      <c r="L85" s="28"/>
      <c r="M85" s="28"/>
    </row>
    <row r="86">
      <c r="A86" s="31"/>
      <c r="B86" s="31"/>
      <c r="C86" s="31"/>
      <c r="D86" s="28"/>
      <c r="E86" s="31"/>
      <c r="F86" s="28"/>
      <c r="G86" s="32"/>
      <c r="H86" s="28"/>
      <c r="I86" s="28"/>
      <c r="J86" s="28"/>
      <c r="K86" s="28"/>
      <c r="L86" s="28"/>
      <c r="M86" s="28"/>
    </row>
    <row r="87">
      <c r="A87" s="31"/>
      <c r="B87" s="31"/>
      <c r="C87" s="31"/>
      <c r="D87" s="33"/>
      <c r="E87" s="34"/>
      <c r="F87" s="28"/>
      <c r="G87" s="32"/>
      <c r="H87" s="28"/>
      <c r="I87" s="28"/>
      <c r="J87" s="28"/>
      <c r="K87" s="28"/>
      <c r="L87" s="28"/>
      <c r="M87" s="28"/>
    </row>
    <row r="88">
      <c r="A88" s="31"/>
      <c r="B88" s="31"/>
      <c r="C88" s="31"/>
      <c r="D88" s="28"/>
      <c r="E88" s="31"/>
      <c r="F88" s="28"/>
      <c r="G88" s="32"/>
      <c r="H88" s="28"/>
      <c r="I88" s="28"/>
      <c r="J88" s="28"/>
      <c r="K88" s="28"/>
      <c r="L88" s="28"/>
      <c r="M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</row>
    <row r="90">
      <c r="A90" s="35" t="s">
        <v>0</v>
      </c>
      <c r="B90" s="36" t="s">
        <v>165</v>
      </c>
      <c r="C90" s="36" t="s">
        <v>166</v>
      </c>
      <c r="D90" s="35" t="s">
        <v>167</v>
      </c>
      <c r="E90" s="37" t="s">
        <v>168</v>
      </c>
      <c r="F90" s="36" t="s">
        <v>169</v>
      </c>
      <c r="G90" s="36" t="s">
        <v>170</v>
      </c>
      <c r="H90" s="36" t="s">
        <v>171</v>
      </c>
      <c r="I90" s="36" t="s">
        <v>172</v>
      </c>
    </row>
    <row r="91">
      <c r="A91" s="65" t="s">
        <v>19</v>
      </c>
      <c r="B91" s="39">
        <f>SUMIF(Май_2025[[#ALL],[Филиал ТЦ]],A91,Май_2025[[#ALL],[Площадь (м²)]])</f>
        <v>2330</v>
      </c>
      <c r="C91" s="39">
        <f>SUMIFS(Май_2025[[#ALL],[Площадь (м²)]],Май_2025[[#ALL],[Филиал ТЦ]],A91,Май_2025[[#ALL],[Категория]],"&lt;&gt;Пустой")</f>
        <v>1895</v>
      </c>
      <c r="D91" s="40">
        <f>COUNTIFS(Май_2025[[#ALL],[Филиал ТЦ]],A91,Май_2025[[#ALL],[Номер помещения]],"&lt;&gt;")</f>
        <v>23</v>
      </c>
      <c r="E91" s="40">
        <f>COUNTIFS(Май_2025[[#ALL],[Филиал ТЦ]],A91,Май_2025[[#ALL],[ID арендатора]],"&lt;&gt;")</f>
        <v>21</v>
      </c>
      <c r="F91" s="41">
        <f>SUMIF(Май_2025[[#ALL],[Филиал ТЦ]],A91,Май_2025[[#ALL],[Продажи/мес]])</f>
        <v>651</v>
      </c>
      <c r="G91" s="42">
        <f>SUMIF(Май_2025[[#ALL],[Филиал ТЦ]],A91,Май_2025[[#ALL],[Выручка (руб/мес)]])</f>
        <v>28024000</v>
      </c>
      <c r="H91" s="42">
        <f>SUMIF(Май_2025[[#ALL],[Филиал ТЦ]],A91,Май_2025[[#ALL],[Долг по аренде (руб)]])</f>
        <v>206900</v>
      </c>
      <c r="I91" s="43">
        <f t="shared" ref="I91:I94" si="1">G91/C91</f>
        <v>14788.3905</v>
      </c>
    </row>
    <row r="92">
      <c r="A92" s="65" t="s">
        <v>9</v>
      </c>
      <c r="B92" s="39">
        <f>SUMIF(Май_2025[[#ALL],[Филиал ТЦ]],A92,Май_2025[[#ALL],[Площадь (м²)]])</f>
        <v>2176</v>
      </c>
      <c r="C92" s="39">
        <f>SUMIFS(Май_2025[[#ALL],[Площадь (м²)]],Май_2025[[#ALL],[Филиал ТЦ]],A92,Май_2025[[#ALL],[Категория]],"&lt;&gt;Пустой")</f>
        <v>2176</v>
      </c>
      <c r="D92" s="40">
        <f>COUNTIFS(Май_2025[[#ALL],[Филиал ТЦ]],A92,Май_2025[[#ALL],[Номер помещения]],"&lt;&gt;")</f>
        <v>18</v>
      </c>
      <c r="E92" s="40">
        <f>COUNTIFS(Май_2025[[#ALL],[Филиал ТЦ]],A92,Май_2025[[#ALL],[ID арендатора]],"&lt;&gt;")</f>
        <v>18</v>
      </c>
      <c r="F92" s="41">
        <f>SUMIF(Май_2025[[#ALL],[Филиал ТЦ]],A92,Май_2025[[#ALL],[Продажи/мес]])</f>
        <v>603</v>
      </c>
      <c r="G92" s="42">
        <f>SUMIF(Май_2025[[#ALL],[Филиал ТЦ]],A92,Май_2025[[#ALL],[Выручка (руб/мес)]])</f>
        <v>40197000</v>
      </c>
      <c r="H92" s="42">
        <f>SUMIF(Май_2025[[#ALL],[Филиал ТЦ]],A92,Май_2025[[#ALL],[Долг по аренде (руб)]])</f>
        <v>303670</v>
      </c>
      <c r="I92" s="43">
        <f t="shared" si="1"/>
        <v>18472.88603</v>
      </c>
    </row>
    <row r="93">
      <c r="A93" s="65" t="s">
        <v>13</v>
      </c>
      <c r="B93" s="39">
        <f>SUMIF(Май_2025[[#ALL],[Филиал ТЦ]],A93,Май_2025[[#ALL],[Площадь (м²)]])</f>
        <v>1855</v>
      </c>
      <c r="C93" s="39">
        <f>SUMIFS(Май_2025[[#ALL],[Площадь (м²)]],Май_2025[[#ALL],[Филиал ТЦ]],A93,Май_2025[[#ALL],[Категория]],"&lt;&gt;Пустой")</f>
        <v>1855</v>
      </c>
      <c r="D93" s="40">
        <f>COUNTIFS(Май_2025[[#ALL],[Филиал ТЦ]],A93,Май_2025[[#ALL],[Номер помещения]],"&lt;&gt;")</f>
        <v>18</v>
      </c>
      <c r="E93" s="40">
        <f>COUNTIFS(Май_2025[[#ALL],[Филиал ТЦ]],A93,Май_2025[[#ALL],[ID арендатора]],"&lt;&gt;")</f>
        <v>18</v>
      </c>
      <c r="F93" s="41">
        <f>SUMIF(Май_2025[[#ALL],[Филиал ТЦ]],A93,Май_2025[[#ALL],[Продажи/мес]])</f>
        <v>557</v>
      </c>
      <c r="G93" s="42">
        <f>SUMIF(Май_2025[[#ALL],[Филиал ТЦ]],A93,Май_2025[[#ALL],[Выручка (руб/мес)]])</f>
        <v>24535000</v>
      </c>
      <c r="H93" s="42">
        <f>SUMIF(Май_2025[[#ALL],[Филиал ТЦ]],A93,Май_2025[[#ALL],[Долг по аренде (руб)]])</f>
        <v>362400</v>
      </c>
      <c r="I93" s="43">
        <f t="shared" si="1"/>
        <v>13226.41509</v>
      </c>
    </row>
    <row r="94">
      <c r="A94" s="66" t="s">
        <v>16</v>
      </c>
      <c r="B94" s="45">
        <f>SUMIF(Май_2025[[#ALL],[Филиал ТЦ]],A94,Май_2025[[#ALL],[Площадь (м²)]])</f>
        <v>3112</v>
      </c>
      <c r="C94" s="45">
        <f>SUMIFS(Май_2025[[#ALL],[Площадь (м²)]],Май_2025[[#ALL],[Филиал ТЦ]],A94,Май_2025[[#ALL],[Категория]],"&lt;&gt;Пустой")</f>
        <v>3112</v>
      </c>
      <c r="D94" s="46">
        <f>COUNTIFS(Май_2025[[#ALL],[Филиал ТЦ]],A94,Май_2025[[#ALL],[Номер помещения]],"&lt;&gt;")</f>
        <v>20</v>
      </c>
      <c r="E94" s="46">
        <f>COUNTIFS(Май_2025[[#ALL],[Филиал ТЦ]],A94,Май_2025[[#ALL],[ID арендатора]],"&lt;&gt;")</f>
        <v>20</v>
      </c>
      <c r="F94" s="47">
        <f>SUMIF(Май_2025[[#ALL],[Филиал ТЦ]],A94,Май_2025[[#ALL],[Продажи/мес]])</f>
        <v>742</v>
      </c>
      <c r="G94" s="48">
        <f>SUMIF(Май_2025[[#ALL],[Филиал ТЦ]],A94,Май_2025[[#ALL],[Выручка (руб/мес)]])</f>
        <v>41425000</v>
      </c>
      <c r="H94" s="48">
        <f>SUMIF(Май_2025[[#ALL],[Филиал ТЦ]],A94,Май_2025[[#ALL],[Долг по аренде (руб)]])</f>
        <v>241360</v>
      </c>
      <c r="I94" s="49">
        <f t="shared" si="1"/>
        <v>13311.37532</v>
      </c>
    </row>
    <row r="95">
      <c r="A95" s="31"/>
      <c r="B95" s="31"/>
      <c r="C95" s="31"/>
      <c r="D95" s="28"/>
      <c r="E95" s="31"/>
      <c r="F95" s="28"/>
      <c r="G95" s="32"/>
      <c r="H95" s="28"/>
      <c r="I95" s="28"/>
      <c r="J95" s="28"/>
      <c r="K95" s="28"/>
      <c r="L95" s="28"/>
      <c r="M95" s="28"/>
    </row>
    <row r="96">
      <c r="A96" s="31"/>
      <c r="B96" s="31"/>
      <c r="C96" s="31"/>
      <c r="D96" s="28"/>
      <c r="E96" s="31"/>
      <c r="F96" s="28"/>
      <c r="G96" s="32"/>
      <c r="H96" s="28"/>
      <c r="I96" s="28"/>
      <c r="J96" s="28"/>
      <c r="K96" s="28"/>
      <c r="L96" s="28"/>
      <c r="M96" s="28"/>
    </row>
    <row r="97">
      <c r="A97" s="31"/>
      <c r="B97" s="31"/>
      <c r="C97" s="31"/>
      <c r="D97" s="28"/>
      <c r="E97" s="31"/>
      <c r="F97" s="28"/>
      <c r="G97" s="32"/>
      <c r="H97" s="28"/>
      <c r="I97" s="28"/>
      <c r="J97" s="28"/>
      <c r="K97" s="28"/>
      <c r="L97" s="28"/>
      <c r="M97" s="28"/>
    </row>
    <row r="98">
      <c r="A98" s="50"/>
      <c r="B98" s="51" t="s">
        <v>16</v>
      </c>
      <c r="E98" s="51" t="s">
        <v>9</v>
      </c>
      <c r="H98" s="51" t="s">
        <v>13</v>
      </c>
      <c r="K98" s="51" t="s">
        <v>19</v>
      </c>
    </row>
    <row r="99">
      <c r="A99" s="52"/>
      <c r="B99" s="53" t="s">
        <v>173</v>
      </c>
      <c r="C99" s="53" t="s">
        <v>174</v>
      </c>
      <c r="D99" s="54" t="s">
        <v>175</v>
      </c>
      <c r="E99" s="53" t="s">
        <v>176</v>
      </c>
      <c r="F99" s="53" t="s">
        <v>177</v>
      </c>
      <c r="G99" s="54" t="s">
        <v>175</v>
      </c>
      <c r="H99" s="55" t="s">
        <v>176</v>
      </c>
      <c r="I99" s="55" t="s">
        <v>177</v>
      </c>
      <c r="J99" s="56" t="s">
        <v>175</v>
      </c>
      <c r="K99" s="55" t="s">
        <v>176</v>
      </c>
      <c r="L99" s="55" t="s">
        <v>177</v>
      </c>
      <c r="M99" s="56" t="s">
        <v>175</v>
      </c>
    </row>
    <row r="100">
      <c r="A100" s="57" t="s">
        <v>65</v>
      </c>
      <c r="B100" s="58">
        <f>SUMIFS(Май_2025[[#ALL],[Площадь (м²)]],Май_2025[[#ALL],[Филиал ТЦ]],B$98,Май_2025[[#ALL],[Категория]],$A100)/SUMIFS(Май_2025[[#ALL],[Площадь (м²)]],Май_2025[[#ALL],[Филиал ТЦ]],B$98)</f>
        <v>0.1446015424</v>
      </c>
      <c r="C100" s="59">
        <f>IF(B100&gt;0, SUMIFS(Май_2025[[#ALL],[Выручка (руб/мес)]],Май_2025[[#ALL],[Филиал ТЦ]],B$98,Май_2025[[#ALL],[Категория]],$A100)/SUMIFS(Май_2025[[#ALL],[Продажи/мес]],Май_2025[[#ALL],[Филиал ТЦ]],B$98,Май_2025[[#ALL],[Категория]],$A100), "нет категории")</f>
        <v>208809.5238</v>
      </c>
      <c r="D100" s="60">
        <f>IF(B100&gt;0, SUMIFS(Май_2025[[#ALL],[Выручка (руб/мес)]],Май_2025[[#ALL],[Филиал ТЦ]],B$98,Май_2025[[#ALL],[Категория]],$A100)/SUMIFS(Май_2025[[#ALL],[Площадь (м²)]],Май_2025[[#ALL],[Филиал ТЦ]],B$98,Май_2025[[#ALL],[Категория]],$A100), "нет категории")</f>
        <v>19488.88889</v>
      </c>
      <c r="E100" s="58">
        <f>SUMIFS(Май_2025[[#ALL],[Площадь (м²)]],Май_2025[[#ALL],[Филиал ТЦ]],E$98,Май_2025[[#ALL],[Категория]],$A100)/SUMIFS(Май_2025[[#ALL],[Площадь (м²)]],Май_2025[[#ALL],[Филиал ТЦ]],E$98)</f>
        <v>0.1659007353</v>
      </c>
      <c r="F100" s="59">
        <f>IF(E100&gt;0, SUMIFS(Май_2025[[#ALL],[Выручка (руб/мес)]],Май_2025[[#ALL],[Филиал ТЦ]],E$98,Май_2025[[#ALL],[Категория]],$A100)/SUMIFS(Май_2025[[#ALL],[Продажи/мес]],Май_2025[[#ALL],[Филиал ТЦ]],E$98,Май_2025[[#ALL],[Категория]],$A100), "нет категории")</f>
        <v>140428.5714</v>
      </c>
      <c r="G100" s="60">
        <f>IF(E100&gt;0,SUMIFS(Май_2025[[#ALL],[Выручка (руб/мес)]],Май_2025[[#ALL],[Филиал ТЦ]],E$98,Май_2025[[#ALL],[Категория]],$A100)/SUMIFS(Май_2025[[#ALL],[Площадь (м²)]],Май_2025[[#ALL],[Филиал ТЦ]],E$98,Май_2025[[#ALL],[Категория]],$A100), "нет категории")</f>
        <v>13614.95845</v>
      </c>
      <c r="H100" s="58">
        <f>SUMIFS(Май_2025[[#ALL],[Площадь (м²)]],Май_2025[[#ALL],[Филиал ТЦ]],H$98,Май_2025[[#ALL],[Категория]],$A100)/SUMIFS(Май_2025[[#ALL],[Площадь (м²)]],Май_2025[[#ALL],[Филиал ТЦ]],H$98)</f>
        <v>0.1725067385</v>
      </c>
      <c r="I100" s="59">
        <f>IF(H100&gt;0, SUMIFS(Май_2025[[#ALL],[Выручка (руб/мес)]],Май_2025[[#ALL],[Филиал ТЦ]],H$98,Май_2025[[#ALL],[Категория]],$A100)/SUMIFS(Май_2025[[#ALL],[Продажи/мес]],Май_2025[[#ALL],[Филиал ТЦ]],H$98,Май_2025[[#ALL],[Категория]],$A100), "нет категории")</f>
        <v>223448.2759</v>
      </c>
      <c r="J100" s="60">
        <f>IF(H100&gt;0, SUMIFS(Май_2025[[#ALL],[Выручка (руб/мес)]],Май_2025[[#ALL],[Филиал ТЦ]],H$98,Май_2025[[#ALL],[Категория]],$A100)/SUMIFS(Май_2025[[#ALL],[Площадь (м²)]],Май_2025[[#ALL],[Филиал ТЦ]],H$98,Май_2025[[#ALL],[Категория]],$A100), "нет категории")</f>
        <v>20250</v>
      </c>
      <c r="K100" s="58">
        <f>SUMIFS(Май_2025[[#ALL],[Площадь (м²)]],Май_2025[[#ALL],[Филиал ТЦ]],K$98,Май_2025[[#ALL],[Категория]],$A100)/SUMIFS(Май_2025[[#ALL],[Площадь (м²)]],Май_2025[[#ALL],[Филиал ТЦ]],K$98)</f>
        <v>0.1459227468</v>
      </c>
      <c r="L100" s="59">
        <f>IF(K100&gt;0, SUMIFS(Май_2025[[#ALL],[Выручка (руб/мес)]],Май_2025[[#ALL],[Филиал ТЦ]],K$98,Май_2025[[#ALL],[Категория]],$A100)/SUMIFS(Май_2025[[#ALL],[Продажи/мес]],Май_2025[[#ALL],[Филиал ТЦ]],K$98,Май_2025[[#ALL],[Категория]],$A100), "нет категории")</f>
        <v>191489.3617</v>
      </c>
      <c r="M100" s="60">
        <f>IF(K100&gt;0, SUMIFS(Май_2025[[#ALL],[Выручка (руб/мес)]],Май_2025[[#ALL],[Филиал ТЦ]],K$98,Май_2025[[#ALL],[Категория]],$A100)/SUMIFS(Май_2025[[#ALL],[Площадь (м²)]],Май_2025[[#ALL],[Филиал ТЦ]],K$98,Май_2025[[#ALL],[Категория]],$A100), "нет категории")</f>
        <v>26470.58824</v>
      </c>
    </row>
    <row r="101">
      <c r="A101" s="61" t="s">
        <v>93</v>
      </c>
      <c r="B101" s="62">
        <f>SUMIFS(Май_2025[[#ALL],[Площадь (м²)]],Май_2025[[#ALL],[Филиал ТЦ]],B$98,Май_2025[[#ALL],[Категория]],$A101)/SUMIFS(Май_2025[[#ALL],[Площадь (м²)]],Май_2025[[#ALL],[Филиал ТЦ]],B$98)</f>
        <v>0.2008354756</v>
      </c>
      <c r="C101" s="63">
        <f>IF(B101&gt;0, SUMIFS(Май_2025[[#ALL],[Выручка (руб/мес)]],Май_2025[[#ALL],[Филиал ТЦ]],B$98,Май_2025[[#ALL],[Категория]],$A101)/SUMIFS(Май_2025[[#ALL],[Продажи/мес]],Май_2025[[#ALL],[Филиал ТЦ]],B$98,Май_2025[[#ALL],[Категория]],$A101), "нет категории")</f>
        <v>68156.02837</v>
      </c>
      <c r="D101" s="64">
        <f>IF(B101&gt;0, SUMIFS(Май_2025[[#ALL],[Выручка (руб/мес)]],Май_2025[[#ALL],[Филиал ТЦ]],B$98,Май_2025[[#ALL],[Категория]],$A101)/SUMIFS(Май_2025[[#ALL],[Площадь (м²)]],Май_2025[[#ALL],[Филиал ТЦ]],B$98,Май_2025[[#ALL],[Категория]],$A101), "нет категории")</f>
        <v>15376</v>
      </c>
      <c r="E101" s="62">
        <f>SUMIFS(Май_2025[[#ALL],[Площадь (м²)]],Май_2025[[#ALL],[Филиал ТЦ]],E$98,Май_2025[[#ALL],[Категория]],$A101)/SUMIFS(Май_2025[[#ALL],[Площадь (м²)]],Май_2025[[#ALL],[Филиал ТЦ]],E$98)</f>
        <v>0.1930147059</v>
      </c>
      <c r="F101" s="63">
        <f>IF(E101&gt;0, SUMIFS(Май_2025[[#ALL],[Выручка (руб/мес)]],Май_2025[[#ALL],[Филиал ТЦ]],E$98,Май_2025[[#ALL],[Категория]],$A101)/SUMIFS(Май_2025[[#ALL],[Продажи/мес]],Май_2025[[#ALL],[Филиал ТЦ]],E$98,Май_2025[[#ALL],[Категория]],$A101), "нет категории")</f>
        <v>73834.58647</v>
      </c>
      <c r="G101" s="64">
        <f>IF(E101&gt;0,SUMIFS(Май_2025[[#ALL],[Выручка (руб/мес)]],Май_2025[[#ALL],[Филиал ТЦ]],E$98,Май_2025[[#ALL],[Категория]],$A101)/SUMIFS(Май_2025[[#ALL],[Площадь (м²)]],Май_2025[[#ALL],[Филиал ТЦ]],E$98,Май_2025[[#ALL],[Категория]],$A101), "нет категории")</f>
        <v>23380.95238</v>
      </c>
      <c r="H101" s="62">
        <f>SUMIFS(Май_2025[[#ALL],[Площадь (м²)]],Май_2025[[#ALL],[Филиал ТЦ]],H$98,Май_2025[[#ALL],[Категория]],$A101)/SUMIFS(Май_2025[[#ALL],[Площадь (м²)]],Май_2025[[#ALL],[Филиал ТЦ]],H$98)</f>
        <v>0.269541779</v>
      </c>
      <c r="I101" s="63">
        <f>IF(H101&gt;0, SUMIFS(Май_2025[[#ALL],[Выручка (руб/мес)]],Май_2025[[#ALL],[Филиал ТЦ]],H$98,Май_2025[[#ALL],[Категория]],$A101)/SUMIFS(Май_2025[[#ALL],[Продажи/мес]],Май_2025[[#ALL],[Филиал ТЦ]],H$98,Май_2025[[#ALL],[Категория]],$A101), "нет категории")</f>
        <v>58059.70149</v>
      </c>
      <c r="J101" s="64">
        <f>IF(H101&gt;0, SUMIFS(Май_2025[[#ALL],[Выручка (руб/мес)]],Май_2025[[#ALL],[Филиал ТЦ]],H$98,Май_2025[[#ALL],[Категория]],$A101)/SUMIFS(Май_2025[[#ALL],[Площадь (м²)]],Май_2025[[#ALL],[Филиал ТЦ]],H$98,Май_2025[[#ALL],[Категория]],$A101), "нет категории")</f>
        <v>15560</v>
      </c>
      <c r="K101" s="62">
        <f>SUMIFS(Май_2025[[#ALL],[Площадь (м²)]],Май_2025[[#ALL],[Филиал ТЦ]],K$98,Май_2025[[#ALL],[Категория]],$A101)/SUMIFS(Май_2025[[#ALL],[Площадь (м²)]],Май_2025[[#ALL],[Филиал ТЦ]],K$98)</f>
        <v>0.1995708155</v>
      </c>
      <c r="L101" s="63">
        <f>IF(K101&gt;0, SUMIFS(Май_2025[[#ALL],[Выручка (руб/мес)]],Май_2025[[#ALL],[Филиал ТЦ]],K$98,Май_2025[[#ALL],[Категория]],$A101)/SUMIFS(Май_2025[[#ALL],[Продажи/мес]],Май_2025[[#ALL],[Филиал ТЦ]],K$98,Май_2025[[#ALL],[Категория]],$A101), "нет категории")</f>
        <v>45864.19753</v>
      </c>
      <c r="M101" s="64">
        <f>IF(K101&gt;0, SUMIFS(Май_2025[[#ALL],[Выручка (руб/мес)]],Май_2025[[#ALL],[Филиал ТЦ]],K$98,Май_2025[[#ALL],[Категория]],$A101)/SUMIFS(Май_2025[[#ALL],[Площадь (м²)]],Май_2025[[#ALL],[Филиал ТЦ]],K$98,Май_2025[[#ALL],[Категория]],$A101), "нет категории")</f>
        <v>15978.49462</v>
      </c>
    </row>
    <row r="102">
      <c r="A102" s="61" t="s">
        <v>140</v>
      </c>
      <c r="B102" s="62">
        <f>SUMIFS(Май_2025[[#ALL],[Площадь (м²)]],Май_2025[[#ALL],[Филиал ТЦ]],B$98,Май_2025[[#ALL],[Категория]],$A102)/SUMIFS(Май_2025[[#ALL],[Площадь (м²)]],Май_2025[[#ALL],[Филиал ТЦ]],B$98)</f>
        <v>0.05141388175</v>
      </c>
      <c r="C102" s="63">
        <f>IF(B102&gt;0, SUMIFS(Май_2025[[#ALL],[Выручка (руб/мес)]],Май_2025[[#ALL],[Филиал ТЦ]],B$98,Май_2025[[#ALL],[Категория]],$A102)/SUMIFS(Май_2025[[#ALL],[Продажи/мес]],Май_2025[[#ALL],[Филиал ТЦ]],B$98,Май_2025[[#ALL],[Категория]],$A102), "нет категории")</f>
        <v>16000</v>
      </c>
      <c r="D102" s="64">
        <f>IF(B102&gt;0, SUMIFS(Май_2025[[#ALL],[Выручка (руб/мес)]],Май_2025[[#ALL],[Филиал ТЦ]],B$98,Май_2025[[#ALL],[Категория]],$A102)/SUMIFS(Май_2025[[#ALL],[Площадь (м²)]],Май_2025[[#ALL],[Филиал ТЦ]],B$98,Май_2025[[#ALL],[Категория]],$A102), "нет категории")</f>
        <v>7500</v>
      </c>
      <c r="E102" s="62">
        <f>SUMIFS(Май_2025[[#ALL],[Площадь (м²)]],Май_2025[[#ALL],[Филиал ТЦ]],E$98,Май_2025[[#ALL],[Категория]],$A102)/SUMIFS(Май_2025[[#ALL],[Площадь (м²)]],Май_2025[[#ALL],[Филиал ТЦ]],E$98)</f>
        <v>0.06893382353</v>
      </c>
      <c r="F102" s="63">
        <f>IF(E102&gt;0, SUMIFS(Май_2025[[#ALL],[Выручка (руб/мес)]],Май_2025[[#ALL],[Филиал ТЦ]],E$98,Май_2025[[#ALL],[Категория]],$A102)/SUMIFS(Май_2025[[#ALL],[Продажи/мес]],Май_2025[[#ALL],[Филиал ТЦ]],E$98,Май_2025[[#ALL],[Категория]],$A102), "нет категории")</f>
        <v>16000</v>
      </c>
      <c r="G102" s="64">
        <f>IF(E102&gt;0,SUMIFS(Май_2025[[#ALL],[Выручка (руб/мес)]],Май_2025[[#ALL],[Филиал ТЦ]],E$98,Май_2025[[#ALL],[Категория]],$A102)/SUMIFS(Май_2025[[#ALL],[Площадь (м²)]],Май_2025[[#ALL],[Филиал ТЦ]],E$98,Май_2025[[#ALL],[Категория]],$A102), "нет категории")</f>
        <v>8000</v>
      </c>
      <c r="H102" s="62">
        <f>SUMIFS(Май_2025[[#ALL],[Площадь (м²)]],Май_2025[[#ALL],[Филиал ТЦ]],H$98,Май_2025[[#ALL],[Категория]],$A102)/SUMIFS(Май_2025[[#ALL],[Площадь (м²)]],Май_2025[[#ALL],[Филиал ТЦ]],H$98)</f>
        <v>0.07547169811</v>
      </c>
      <c r="I102" s="63">
        <f>IF(H102&gt;0, SUMIFS(Май_2025[[#ALL],[Выручка (руб/мес)]],Май_2025[[#ALL],[Филиал ТЦ]],H$98,Май_2025[[#ALL],[Категория]],$A102)/SUMIFS(Май_2025[[#ALL],[Продажи/мес]],Май_2025[[#ALL],[Филиал ТЦ]],H$98,Май_2025[[#ALL],[Категория]],$A102), "нет категории")</f>
        <v>15000</v>
      </c>
      <c r="J102" s="64">
        <f>IF(H102&gt;0, SUMIFS(Май_2025[[#ALL],[Выручка (руб/мес)]],Май_2025[[#ALL],[Филиал ТЦ]],H$98,Май_2025[[#ALL],[Категория]],$A102)/SUMIFS(Май_2025[[#ALL],[Площадь (м²)]],Май_2025[[#ALL],[Филиал ТЦ]],H$98,Май_2025[[#ALL],[Категория]],$A102), "нет категории")</f>
        <v>7500</v>
      </c>
      <c r="K102" s="62">
        <f>SUMIFS(Май_2025[[#ALL],[Площадь (м²)]],Май_2025[[#ALL],[Филиал ТЦ]],K$98,Май_2025[[#ALL],[Категория]],$A102)/SUMIFS(Май_2025[[#ALL],[Площадь (м²)]],Май_2025[[#ALL],[Филиал ТЦ]],K$98)</f>
        <v>0.07725321888</v>
      </c>
      <c r="L102" s="63">
        <f>IF(K102&gt;0, SUMIFS(Май_2025[[#ALL],[Выручка (руб/мес)]],Май_2025[[#ALL],[Филиал ТЦ]],K$98,Май_2025[[#ALL],[Категория]],$A102)/SUMIFS(Май_2025[[#ALL],[Продажи/мес]],Май_2025[[#ALL],[Филиал ТЦ]],K$98,Май_2025[[#ALL],[Категория]],$A102), "нет категории")</f>
        <v>11170.21277</v>
      </c>
      <c r="M102" s="64">
        <f>IF(K102&gt;0, SUMIFS(Май_2025[[#ALL],[Выручка (руб/мес)]],Май_2025[[#ALL],[Филиал ТЦ]],K$98,Май_2025[[#ALL],[Категория]],$A102)/SUMIFS(Май_2025[[#ALL],[Площадь (м²)]],Май_2025[[#ALL],[Филиал ТЦ]],K$98,Май_2025[[#ALL],[Категория]],$A102), "нет категории")</f>
        <v>5833.333333</v>
      </c>
    </row>
    <row r="103">
      <c r="A103" s="61" t="s">
        <v>130</v>
      </c>
      <c r="B103" s="62">
        <f>SUMIFS(Май_2025[[#ALL],[Площадь (м²)]],Май_2025[[#ALL],[Филиал ТЦ]],B$98,Май_2025[[#ALL],[Категория]],$A103)/SUMIFS(Май_2025[[#ALL],[Площадь (м²)]],Май_2025[[#ALL],[Филиал ТЦ]],B$98)</f>
        <v>0.0353470437</v>
      </c>
      <c r="C103" s="63">
        <f>IF(B103&gt;0, SUMIFS(Май_2025[[#ALL],[Выручка (руб/мес)]],Май_2025[[#ALL],[Филиал ТЦ]],B$98,Май_2025[[#ALL],[Категория]],$A103)/SUMIFS(Май_2025[[#ALL],[Продажи/мес]],Май_2025[[#ALL],[Филиал ТЦ]],B$98,Май_2025[[#ALL],[Категория]],$A103), "нет категории")</f>
        <v>11000</v>
      </c>
      <c r="D103" s="64">
        <f>IF(B103&gt;0, SUMIFS(Май_2025[[#ALL],[Выручка (руб/мес)]],Май_2025[[#ALL],[Филиал ТЦ]],B$98,Май_2025[[#ALL],[Категория]],$A103)/SUMIFS(Май_2025[[#ALL],[Площадь (м²)]],Май_2025[[#ALL],[Филиал ТЦ]],B$98,Май_2025[[#ALL],[Категория]],$A103), "нет категории")</f>
        <v>5000</v>
      </c>
      <c r="E103" s="62">
        <f>SUMIFS(Май_2025[[#ALL],[Площадь (м²)]],Май_2025[[#ALL],[Филиал ТЦ]],E$98,Май_2025[[#ALL],[Категория]],$A103)/SUMIFS(Май_2025[[#ALL],[Площадь (м²)]],Май_2025[[#ALL],[Филиал ТЦ]],E$98)</f>
        <v>0.04595588235</v>
      </c>
      <c r="F103" s="63">
        <f>IF(E103&gt;0, SUMIFS(Май_2025[[#ALL],[Выручка (руб/мес)]],Май_2025[[#ALL],[Филиал ТЦ]],E$98,Май_2025[[#ALL],[Категория]],$A103)/SUMIFS(Май_2025[[#ALL],[Продажи/мес]],Май_2025[[#ALL],[Филиал ТЦ]],E$98,Май_2025[[#ALL],[Категория]],$A103), "нет категории")</f>
        <v>12073.17073</v>
      </c>
      <c r="G103" s="64">
        <f>IF(E103&gt;0,SUMIFS(Май_2025[[#ALL],[Выручка (руб/мес)]],Май_2025[[#ALL],[Филиал ТЦ]],E$98,Май_2025[[#ALL],[Категория]],$A103)/SUMIFS(Май_2025[[#ALL],[Площадь (м²)]],Май_2025[[#ALL],[Филиал ТЦ]],E$98,Май_2025[[#ALL],[Категория]],$A103), "нет категории")</f>
        <v>4950</v>
      </c>
      <c r="H103" s="62">
        <f>SUMIFS(Май_2025[[#ALL],[Площадь (м²)]],Май_2025[[#ALL],[Филиал ТЦ]],H$98,Май_2025[[#ALL],[Категория]],$A103)/SUMIFS(Май_2025[[#ALL],[Площадь (м²)]],Май_2025[[#ALL],[Филиал ТЦ]],H$98)</f>
        <v>0.04851752022</v>
      </c>
      <c r="I103" s="63">
        <f>IF(H103&gt;0, SUMIFS(Май_2025[[#ALL],[Выручка (руб/мес)]],Май_2025[[#ALL],[Филиал ТЦ]],H$98,Май_2025[[#ALL],[Категория]],$A103)/SUMIFS(Май_2025[[#ALL],[Продажи/мес]],Май_2025[[#ALL],[Филиал ТЦ]],H$98,Май_2025[[#ALL],[Категория]],$A103), "нет категории")</f>
        <v>11000</v>
      </c>
      <c r="J103" s="64">
        <f>IF(H103&gt;0, SUMIFS(Май_2025[[#ALL],[Выручка (руб/мес)]],Май_2025[[#ALL],[Филиал ТЦ]],H$98,Май_2025[[#ALL],[Категория]],$A103)/SUMIFS(Май_2025[[#ALL],[Площадь (м²)]],Май_2025[[#ALL],[Филиал ТЦ]],H$98,Май_2025[[#ALL],[Категория]],$A103), "нет категории")</f>
        <v>4888.888889</v>
      </c>
      <c r="K103" s="62">
        <f>SUMIFS(Май_2025[[#ALL],[Площадь (м²)]],Май_2025[[#ALL],[Филиал ТЦ]],K$98,Май_2025[[#ALL],[Категория]],$A103)/SUMIFS(Май_2025[[#ALL],[Площадь (м²)]],Май_2025[[#ALL],[Филиал ТЦ]],K$98)</f>
        <v>0.03433476395</v>
      </c>
      <c r="L103" s="63">
        <f>IF(K103&gt;0, SUMIFS(Май_2025[[#ALL],[Выручка (руб/мес)]],Май_2025[[#ALL],[Филиал ТЦ]],K$98,Май_2025[[#ALL],[Категория]],$A103)/SUMIFS(Май_2025[[#ALL],[Продажи/мес]],Май_2025[[#ALL],[Филиал ТЦ]],K$98,Май_2025[[#ALL],[Категория]],$A103), "нет категории")</f>
        <v>11000</v>
      </c>
      <c r="M103" s="64">
        <f>IF(K103&gt;0, SUMIFS(Май_2025[[#ALL],[Выручка (руб/мес)]],Май_2025[[#ALL],[Филиал ТЦ]],K$98,Май_2025[[#ALL],[Категория]],$A103)/SUMIFS(Май_2025[[#ALL],[Площадь (м²)]],Май_2025[[#ALL],[Филиал ТЦ]],K$98,Май_2025[[#ALL],[Категория]],$A103), "нет категории")</f>
        <v>4812.5</v>
      </c>
    </row>
    <row r="104">
      <c r="A104" s="61" t="s">
        <v>24</v>
      </c>
      <c r="B104" s="62">
        <f>SUMIFS(Май_2025[[#ALL],[Площадь (м²)]],Май_2025[[#ALL],[Филиал ТЦ]],B$98,Май_2025[[#ALL],[Категория]],$A104)/SUMIFS(Май_2025[[#ALL],[Площадь (м²)]],Май_2025[[#ALL],[Филиал ТЦ]],B$98)</f>
        <v>0.07422879177</v>
      </c>
      <c r="C104" s="63">
        <f>IF(B104&gt;0, SUMIFS(Май_2025[[#ALL],[Выручка (руб/мес)]],Май_2025[[#ALL],[Филиал ТЦ]],B$98,Май_2025[[#ALL],[Категория]],$A104)/SUMIFS(Май_2025[[#ALL],[Продажи/мес]],Май_2025[[#ALL],[Филиал ТЦ]],B$98,Май_2025[[#ALL],[Категория]],$A104), "нет категории")</f>
        <v>74722.22222</v>
      </c>
      <c r="D104" s="64">
        <f>IF(B104&gt;0, SUMIFS(Май_2025[[#ALL],[Выручка (руб/мес)]],Май_2025[[#ALL],[Филиал ТЦ]],B$98,Май_2025[[#ALL],[Категория]],$A104)/SUMIFS(Май_2025[[#ALL],[Площадь (м²)]],Май_2025[[#ALL],[Филиал ТЦ]],B$98,Май_2025[[#ALL],[Категория]],$A104), "нет категории")</f>
        <v>11645.02165</v>
      </c>
      <c r="E104" s="62">
        <f>SUMIFS(Май_2025[[#ALL],[Площадь (м²)]],Май_2025[[#ALL],[Филиал ТЦ]],E$98,Май_2025[[#ALL],[Категория]],$A104)/SUMIFS(Май_2025[[#ALL],[Площадь (м²)]],Май_2025[[#ALL],[Филиал ТЦ]],E$98)</f>
        <v>0.08272058824</v>
      </c>
      <c r="F104" s="63">
        <f>IF(E104&gt;0, SUMIFS(Май_2025[[#ALL],[Выручка (руб/мес)]],Май_2025[[#ALL],[Филиал ТЦ]],E$98,Май_2025[[#ALL],[Категория]],$A104)/SUMIFS(Май_2025[[#ALL],[Продажи/мес]],Май_2025[[#ALL],[Филиал ТЦ]],E$98,Май_2025[[#ALL],[Категория]],$A104), "нет категории")</f>
        <v>27968.75</v>
      </c>
      <c r="G104" s="64">
        <f>IF(E104&gt;0,SUMIFS(Май_2025[[#ALL],[Выручка (руб/мес)]],Май_2025[[#ALL],[Филиал ТЦ]],E$98,Май_2025[[#ALL],[Категория]],$A104)/SUMIFS(Май_2025[[#ALL],[Площадь (м²)]],Май_2025[[#ALL],[Филиал ТЦ]],E$98,Май_2025[[#ALL],[Категория]],$A104), "нет категории")</f>
        <v>9944.444444</v>
      </c>
      <c r="H104" s="62">
        <f>SUMIFS(Май_2025[[#ALL],[Площадь (м²)]],Май_2025[[#ALL],[Филиал ТЦ]],H$98,Май_2025[[#ALL],[Категория]],$A104)/SUMIFS(Май_2025[[#ALL],[Площадь (м²)]],Май_2025[[#ALL],[Филиал ТЦ]],H$98)</f>
        <v>0.08032345013</v>
      </c>
      <c r="I104" s="63">
        <f>IF(H104&gt;0, SUMIFS(Май_2025[[#ALL],[Выручка (руб/мес)]],Май_2025[[#ALL],[Филиал ТЦ]],H$98,Май_2025[[#ALL],[Категория]],$A104)/SUMIFS(Май_2025[[#ALL],[Продажи/мес]],Май_2025[[#ALL],[Филиал ТЦ]],H$98,Май_2025[[#ALL],[Категория]],$A104), "нет категории")</f>
        <v>87894.73684</v>
      </c>
      <c r="J104" s="64">
        <f>IF(H104&gt;0, SUMIFS(Май_2025[[#ALL],[Выручка (руб/мес)]],Май_2025[[#ALL],[Филиал ТЦ]],H$98,Май_2025[[#ALL],[Категория]],$A104)/SUMIFS(Май_2025[[#ALL],[Площадь (м²)]],Май_2025[[#ALL],[Филиал ТЦ]],H$98,Май_2025[[#ALL],[Категория]],$A104), "нет категории")</f>
        <v>11208.05369</v>
      </c>
      <c r="K104" s="62">
        <f>SUMIFS(Май_2025[[#ALL],[Площадь (м²)]],Май_2025[[#ALL],[Филиал ТЦ]],K$98,Май_2025[[#ALL],[Категория]],$A104)/SUMIFS(Май_2025[[#ALL],[Площадь (м²)]],Май_2025[[#ALL],[Филиал ТЦ]],K$98)</f>
        <v>0.0652360515</v>
      </c>
      <c r="L104" s="63">
        <f>IF(K104&gt;0, SUMIFS(Май_2025[[#ALL],[Выручка (руб/мес)]],Май_2025[[#ALL],[Филиал ТЦ]],K$98,Май_2025[[#ALL],[Категория]],$A104)/SUMIFS(Май_2025[[#ALL],[Продажи/мес]],Май_2025[[#ALL],[Филиал ТЦ]],K$98,Май_2025[[#ALL],[Категория]],$A104), "нет категории")</f>
        <v>27547.16981</v>
      </c>
      <c r="M104" s="64">
        <f>IF(K104&gt;0, SUMIFS(Май_2025[[#ALL],[Выручка (руб/мес)]],Май_2025[[#ALL],[Филиал ТЦ]],K$98,Май_2025[[#ALL],[Категория]],$A104)/SUMIFS(Май_2025[[#ALL],[Площадь (м²)]],Май_2025[[#ALL],[Филиал ТЦ]],K$98,Май_2025[[#ALL],[Категория]],$A104), "нет категории")</f>
        <v>9605.263158</v>
      </c>
    </row>
    <row r="105">
      <c r="A105" s="61" t="s">
        <v>40</v>
      </c>
      <c r="B105" s="62">
        <f>SUMIFS(Май_2025[[#ALL],[Площадь (м²)]],Май_2025[[#ALL],[Филиал ТЦ]],B$98,Май_2025[[#ALL],[Категория]],$A105)/SUMIFS(Май_2025[[#ALL],[Площадь (м²)]],Май_2025[[#ALL],[Филиал ТЦ]],B$98)</f>
        <v>0.09511568123</v>
      </c>
      <c r="C105" s="63">
        <f>IF(B105&gt;0, SUMIFS(Май_2025[[#ALL],[Выручка (руб/мес)]],Май_2025[[#ALL],[Филиал ТЦ]],B$98,Май_2025[[#ALL],[Категория]],$A105)/SUMIFS(Май_2025[[#ALL],[Продажи/мес]],Май_2025[[#ALL],[Филиал ТЦ]],B$98,Май_2025[[#ALL],[Категория]],$A105), "нет категории")</f>
        <v>80769.23077</v>
      </c>
      <c r="D105" s="64">
        <f>IF(B105&gt;0, SUMIFS(Май_2025[[#ALL],[Выручка (руб/мес)]],Май_2025[[#ALL],[Филиал ТЦ]],B$98,Май_2025[[#ALL],[Категория]],$A105)/SUMIFS(Май_2025[[#ALL],[Площадь (м²)]],Май_2025[[#ALL],[Филиал ТЦ]],B$98,Май_2025[[#ALL],[Категория]],$A105), "нет категории")</f>
        <v>14189.18919</v>
      </c>
      <c r="E105" s="62">
        <f>SUMIFS(Май_2025[[#ALL],[Площадь (м²)]],Май_2025[[#ALL],[Филиал ТЦ]],E$98,Май_2025[[#ALL],[Категория]],$A105)/SUMIFS(Май_2025[[#ALL],[Площадь (м²)]],Май_2025[[#ALL],[Филиал ТЦ]],E$98)</f>
        <v>0.2045036765</v>
      </c>
      <c r="F105" s="63">
        <f>IF(E105&gt;0, SUMIFS(Май_2025[[#ALL],[Выручка (руб/мес)]],Май_2025[[#ALL],[Филиал ТЦ]],E$98,Май_2025[[#ALL],[Категория]],$A105)/SUMIFS(Май_2025[[#ALL],[Продажи/мес]],Май_2025[[#ALL],[Филиал ТЦ]],E$98,Май_2025[[#ALL],[Категория]],$A105), "нет категории")</f>
        <v>61437.5</v>
      </c>
      <c r="G105" s="64">
        <f>IF(E105&gt;0,SUMIFS(Май_2025[[#ALL],[Выручка (руб/мес)]],Май_2025[[#ALL],[Филиал ТЦ]],E$98,Май_2025[[#ALL],[Категория]],$A105)/SUMIFS(Май_2025[[#ALL],[Площадь (м²)]],Май_2025[[#ALL],[Филиал ТЦ]],E$98,Май_2025[[#ALL],[Категория]],$A105), "нет категории")</f>
        <v>11044.94382</v>
      </c>
      <c r="H105" s="62">
        <f>SUMIFS(Май_2025[[#ALL],[Площадь (м²)]],Май_2025[[#ALL],[Филиал ТЦ]],H$98,Май_2025[[#ALL],[Категория]],$A105)/SUMIFS(Май_2025[[#ALL],[Площадь (м²)]],Май_2025[[#ALL],[Филиал ТЦ]],H$98)</f>
        <v>0.1326145553</v>
      </c>
      <c r="I105" s="63">
        <f>IF(H105&gt;0, SUMIFS(Май_2025[[#ALL],[Выручка (руб/мес)]],Май_2025[[#ALL],[Филиал ТЦ]],H$98,Май_2025[[#ALL],[Категория]],$A105)/SUMIFS(Май_2025[[#ALL],[Продажи/мес]],Май_2025[[#ALL],[Филиал ТЦ]],H$98,Май_2025[[#ALL],[Категория]],$A105), "нет категории")</f>
        <v>77142.85714</v>
      </c>
      <c r="J105" s="64">
        <f>IF(H105&gt;0, SUMIFS(Май_2025[[#ALL],[Выручка (руб/мес)]],Май_2025[[#ALL],[Филиал ТЦ]],H$98,Май_2025[[#ALL],[Категория]],$A105)/SUMIFS(Май_2025[[#ALL],[Площадь (м²)]],Май_2025[[#ALL],[Филиал ТЦ]],H$98,Май_2025[[#ALL],[Категория]],$A105), "нет категории")</f>
        <v>10975.60976</v>
      </c>
      <c r="K105" s="62">
        <f>SUMIFS(Май_2025[[#ALL],[Площадь (м²)]],Май_2025[[#ALL],[Филиал ТЦ]],K$98,Май_2025[[#ALL],[Категория]],$A105)/SUMIFS(Май_2025[[#ALL],[Площадь (м²)]],Май_2025[[#ALL],[Филиал ТЦ]],K$98)</f>
        <v>0.09270386266</v>
      </c>
      <c r="L105" s="63">
        <f>IF(K105&gt;0, SUMIFS(Май_2025[[#ALL],[Выручка (руб/мес)]],Май_2025[[#ALL],[Филиал ТЦ]],K$98,Май_2025[[#ALL],[Категория]],$A105)/SUMIFS(Май_2025[[#ALL],[Продажи/мес]],Май_2025[[#ALL],[Филиал ТЦ]],K$98,Май_2025[[#ALL],[Категория]],$A105), "нет категории")</f>
        <v>146851.8519</v>
      </c>
      <c r="M105" s="64">
        <f>IF(K105&gt;0, SUMIFS(Май_2025[[#ALL],[Выручка (руб/мес)]],Май_2025[[#ALL],[Филиал ТЦ]],K$98,Май_2025[[#ALL],[Категория]],$A105)/SUMIFS(Май_2025[[#ALL],[Площадь (м²)]],Май_2025[[#ALL],[Филиал ТЦ]],K$98,Май_2025[[#ALL],[Категория]],$A105), "нет категории")</f>
        <v>18356.48148</v>
      </c>
    </row>
    <row r="106">
      <c r="A106" s="61" t="s">
        <v>121</v>
      </c>
      <c r="B106" s="62">
        <f>SUMIFS(Май_2025[[#ALL],[Площадь (м²)]],Май_2025[[#ALL],[Филиал ТЦ]],B$98,Май_2025[[#ALL],[Категория]],$A106)/SUMIFS(Май_2025[[#ALL],[Площадь (м²)]],Май_2025[[#ALL],[Филиал ТЦ]],B$98)</f>
        <v>0.02570694087</v>
      </c>
      <c r="C106" s="63">
        <f>IF(B106&gt;0, SUMIFS(Май_2025[[#ALL],[Выручка (руб/мес)]],Май_2025[[#ALL],[Филиал ТЦ]],B$98,Май_2025[[#ALL],[Категория]],$A106)/SUMIFS(Май_2025[[#ALL],[Продажи/мес]],Май_2025[[#ALL],[Филиал ТЦ]],B$98,Май_2025[[#ALL],[Категория]],$A106), "нет категории")</f>
        <v>87083.33333</v>
      </c>
      <c r="D106" s="64">
        <f>IF(B106&gt;0, SUMIFS(Май_2025[[#ALL],[Выручка (руб/мес)]],Май_2025[[#ALL],[Филиал ТЦ]],B$98,Май_2025[[#ALL],[Категория]],$A106)/SUMIFS(Май_2025[[#ALL],[Площадь (м²)]],Май_2025[[#ALL],[Филиал ТЦ]],B$98,Май_2025[[#ALL],[Категория]],$A106), "нет категории")</f>
        <v>26125</v>
      </c>
      <c r="E106" s="62">
        <f>SUMIFS(Май_2025[[#ALL],[Площадь (м²)]],Май_2025[[#ALL],[Филиал ТЦ]],E$98,Май_2025[[#ALL],[Категория]],$A106)/SUMIFS(Май_2025[[#ALL],[Площадь (м²)]],Май_2025[[#ALL],[Филиал ТЦ]],E$98)</f>
        <v>0.08272058824</v>
      </c>
      <c r="F106" s="63">
        <f>IF(E106&gt;0, SUMIFS(Май_2025[[#ALL],[Выручка (руб/мес)]],Май_2025[[#ALL],[Филиал ТЦ]],E$98,Май_2025[[#ALL],[Категория]],$A106)/SUMIFS(Май_2025[[#ALL],[Продажи/мес]],Май_2025[[#ALL],[Филиал ТЦ]],E$98,Май_2025[[#ALL],[Категория]],$A106), "нет категории")</f>
        <v>425000</v>
      </c>
      <c r="G106" s="64">
        <f>IF(E106&gt;0,SUMIFS(Май_2025[[#ALL],[Выручка (руб/мес)]],Май_2025[[#ALL],[Филиал ТЦ]],E$98,Май_2025[[#ALL],[Категория]],$A106)/SUMIFS(Май_2025[[#ALL],[Площадь (м²)]],Май_2025[[#ALL],[Филиал ТЦ]],E$98,Май_2025[[#ALL],[Категория]],$A106), "нет категории")</f>
        <v>9444.444444</v>
      </c>
      <c r="H106" s="62">
        <f>SUMIFS(Май_2025[[#ALL],[Площадь (м²)]],Май_2025[[#ALL],[Филиал ТЦ]],H$98,Май_2025[[#ALL],[Категория]],$A106)/SUMIFS(Май_2025[[#ALL],[Площадь (м²)]],Май_2025[[#ALL],[Филиал ТЦ]],H$98)</f>
        <v>0.0539083558</v>
      </c>
      <c r="I106" s="63">
        <f>IF(H106&gt;0, SUMIFS(Май_2025[[#ALL],[Выручка (руб/мес)]],Май_2025[[#ALL],[Филиал ТЦ]],H$98,Май_2025[[#ALL],[Категория]],$A106)/SUMIFS(Май_2025[[#ALL],[Продажи/мес]],Май_2025[[#ALL],[Филиал ТЦ]],H$98,Май_2025[[#ALL],[Категория]],$A106), "нет категории")</f>
        <v>23800</v>
      </c>
      <c r="J106" s="64">
        <f>IF(H106&gt;0, SUMIFS(Май_2025[[#ALL],[Выручка (руб/мес)]],Май_2025[[#ALL],[Филиал ТЦ]],H$98,Май_2025[[#ALL],[Категория]],$A106)/SUMIFS(Май_2025[[#ALL],[Площадь (м²)]],Май_2025[[#ALL],[Филиал ТЦ]],H$98,Май_2025[[#ALL],[Категория]],$A106), "нет категории")</f>
        <v>17850</v>
      </c>
      <c r="K106" s="62">
        <f>SUMIFS(Май_2025[[#ALL],[Площадь (м²)]],Май_2025[[#ALL],[Филиал ТЦ]],K$98,Май_2025[[#ALL],[Категория]],$A106)/SUMIFS(Май_2025[[#ALL],[Площадь (м²)]],Май_2025[[#ALL],[Филиал ТЦ]],K$98)</f>
        <v>0.01931330472</v>
      </c>
      <c r="L106" s="63">
        <f>IF(K106&gt;0, SUMIFS(Май_2025[[#ALL],[Выручка (руб/мес)]],Май_2025[[#ALL],[Филиал ТЦ]],K$98,Май_2025[[#ALL],[Категория]],$A106)/SUMIFS(Май_2025[[#ALL],[Продажи/мес]],Май_2025[[#ALL],[Филиал ТЦ]],K$98,Май_2025[[#ALL],[Категория]],$A106), "нет категории")</f>
        <v>24000</v>
      </c>
      <c r="M106" s="64">
        <f>IF(K106&gt;0, SUMIFS(Май_2025[[#ALL],[Выручка (руб/мес)]],Май_2025[[#ALL],[Филиал ТЦ]],K$98,Май_2025[[#ALL],[Категория]],$A106)/SUMIFS(Май_2025[[#ALL],[Площадь (м²)]],Май_2025[[#ALL],[Филиал ТЦ]],K$98,Май_2025[[#ALL],[Категория]],$A106), "нет категории")</f>
        <v>37333.33333</v>
      </c>
    </row>
    <row r="107">
      <c r="A107" s="61" t="s">
        <v>57</v>
      </c>
      <c r="B107" s="62">
        <f>SUMIFS(Май_2025[[#ALL],[Площадь (м²)]],Май_2025[[#ALL],[Филиал ТЦ]],B$98,Май_2025[[#ALL],[Категория]],$A107)/SUMIFS(Май_2025[[#ALL],[Площадь (м²)]],Май_2025[[#ALL],[Филиал ТЦ]],B$98)</f>
        <v>0.2538560411</v>
      </c>
      <c r="C107" s="63">
        <f>IF(B107&gt;0, SUMIFS(Май_2025[[#ALL],[Выручка (руб/мес)]],Май_2025[[#ALL],[Филиал ТЦ]],B$98,Май_2025[[#ALL],[Категория]],$A107)/SUMIFS(Май_2025[[#ALL],[Продажи/мес]],Май_2025[[#ALL],[Филиал ТЦ]],B$98,Май_2025[[#ALL],[Категория]],$A107), "нет категории")</f>
        <v>69763.77953</v>
      </c>
      <c r="D107" s="64">
        <f>IF(B107&gt;0, SUMIFS(Май_2025[[#ALL],[Выручка (руб/мес)]],Май_2025[[#ALL],[Филиал ТЦ]],B$98,Май_2025[[#ALL],[Категория]],$A107)/SUMIFS(Май_2025[[#ALL],[Площадь (м²)]],Май_2025[[#ALL],[Филиал ТЦ]],B$98,Май_2025[[#ALL],[Категория]],$A107), "нет категории")</f>
        <v>11215.18987</v>
      </c>
      <c r="E107" s="62">
        <f>SUMIFS(Май_2025[[#ALL],[Площадь (м²)]],Май_2025[[#ALL],[Филиал ТЦ]],E$98,Май_2025[[#ALL],[Категория]],$A107)/SUMIFS(Май_2025[[#ALL],[Площадь (м²)]],Май_2025[[#ALL],[Филиал ТЦ]],E$98)</f>
        <v>0</v>
      </c>
      <c r="F107" s="63" t="str">
        <f>IF(E107&gt;0, SUMIFS(Май_2025[[#ALL],[Выручка (руб/мес)]],Май_2025[[#ALL],[Филиал ТЦ]],E$98,Май_2025[[#ALL],[Категория]],$A107)/SUMIFS(Май_2025[[#ALL],[Продажи/мес]],Май_2025[[#ALL],[Филиал ТЦ]],E$98,Май_2025[[#ALL],[Категория]],$A107), "нет категории")</f>
        <v>нет категории</v>
      </c>
      <c r="G107" s="64" t="str">
        <f>IF(E107&gt;0,SUMIFS(Май_2025[[#ALL],[Выручка (руб/мес)]],Май_2025[[#ALL],[Филиал ТЦ]],E$98,Май_2025[[#ALL],[Категория]],$A107)/SUMIFS(Май_2025[[#ALL],[Площадь (м²)]],Май_2025[[#ALL],[Филиал ТЦ]],E$98,Май_2025[[#ALL],[Категория]],$A107), "нет категории")</f>
        <v>нет категории</v>
      </c>
      <c r="H107" s="62">
        <f>SUMIFS(Май_2025[[#ALL],[Площадь (м²)]],Май_2025[[#ALL],[Филиал ТЦ]],H$98,Май_2025[[#ALL],[Категория]],$A107)/SUMIFS(Май_2025[[#ALL],[Площадь (м²)]],Май_2025[[#ALL],[Филиал ТЦ]],H$98)</f>
        <v>0</v>
      </c>
      <c r="I107" s="63" t="str">
        <f>IF(H107&gt;0, SUMIFS(Май_2025[[#ALL],[Выручка (руб/мес)]],Май_2025[[#ALL],[Филиал ТЦ]],H$98,Май_2025[[#ALL],[Категория]],$A107)/SUMIFS(Май_2025[[#ALL],[Продажи/мес]],Май_2025[[#ALL],[Филиал ТЦ]],H$98,Май_2025[[#ALL],[Категория]],$A107), "нет категории")</f>
        <v>нет категории</v>
      </c>
      <c r="J107" s="64" t="str">
        <f>IF(H107&gt;0, SUMIFS(Май_2025[[#ALL],[Выручка (руб/мес)]],Май_2025[[#ALL],[Филиал ТЦ]],H$98,Май_2025[[#ALL],[Категория]],$A107)/SUMIFS(Май_2025[[#ALL],[Площадь (м²)]],Май_2025[[#ALL],[Филиал ТЦ]],H$98,Май_2025[[#ALL],[Категория]],$A107), "нет категории")</f>
        <v>нет категории</v>
      </c>
      <c r="K107" s="62">
        <f>SUMIFS(Май_2025[[#ALL],[Площадь (м²)]],Май_2025[[#ALL],[Филиал ТЦ]],K$98,Май_2025[[#ALL],[Категория]],$A107)/SUMIFS(Май_2025[[#ALL],[Площадь (м²)]],Май_2025[[#ALL],[Филиал ТЦ]],K$98)</f>
        <v>0.05879828326</v>
      </c>
      <c r="L107" s="63">
        <f>IF(K107&gt;0, SUMIFS(Май_2025[[#ALL],[Выручка (руб/мес)]],Май_2025[[#ALL],[Филиал ТЦ]],K$98,Май_2025[[#ALL],[Категория]],$A107)/SUMIFS(Май_2025[[#ALL],[Продажи/мес]],Май_2025[[#ALL],[Филиал ТЦ]],K$98,Май_2025[[#ALL],[Категория]],$A107), "нет категории")</f>
        <v>34521.73913</v>
      </c>
      <c r="M107" s="64">
        <f>IF(K107&gt;0, SUMIFS(Май_2025[[#ALL],[Выручка (руб/мес)]],Май_2025[[#ALL],[Филиал ТЦ]],K$98,Май_2025[[#ALL],[Категория]],$A107)/SUMIFS(Май_2025[[#ALL],[Площадь (м²)]],Май_2025[[#ALL],[Филиал ТЦ]],K$98,Май_2025[[#ALL],[Категория]],$A107), "нет категории")</f>
        <v>5795.620438</v>
      </c>
    </row>
    <row r="108">
      <c r="A108" s="61" t="s">
        <v>158</v>
      </c>
      <c r="B108" s="62">
        <f>SUMIFS(Май_2025[[#ALL],[Площадь (м²)]],Май_2025[[#ALL],[Филиал ТЦ]],B$98,Май_2025[[#ALL],[Категория]],$A108)/SUMIFS(Май_2025[[#ALL],[Площадь (м²)]],Май_2025[[#ALL],[Филиал ТЦ]],B$98)</f>
        <v>0.02892030848</v>
      </c>
      <c r="C108" s="63">
        <f>IF(B108&gt;0, SUMIFS(Май_2025[[#ALL],[Выручка (руб/мес)]],Май_2025[[#ALL],[Филиал ТЦ]],B$98,Май_2025[[#ALL],[Категория]],$A108)/SUMIFS(Май_2025[[#ALL],[Продажи/мес]],Май_2025[[#ALL],[Филиал ТЦ]],B$98,Май_2025[[#ALL],[Категория]],$A108), "нет категории")</f>
        <v>9000</v>
      </c>
      <c r="D108" s="64">
        <f>IF(B108&gt;0, SUMIFS(Май_2025[[#ALL],[Выручка (руб/мес)]],Май_2025[[#ALL],[Филиал ТЦ]],B$98,Май_2025[[#ALL],[Категория]],$A108)/SUMIFS(Май_2025[[#ALL],[Площадь (м²)]],Май_2025[[#ALL],[Филиал ТЦ]],B$98,Май_2025[[#ALL],[Категория]],$A108), "нет категории")</f>
        <v>4000</v>
      </c>
      <c r="E108" s="62">
        <f>SUMIFS(Май_2025[[#ALL],[Площадь (м²)]],Май_2025[[#ALL],[Филиал ТЦ]],E$98,Май_2025[[#ALL],[Категория]],$A108)/SUMIFS(Май_2025[[#ALL],[Площадь (м²)]],Май_2025[[#ALL],[Филиал ТЦ]],E$98)</f>
        <v>0.03676470588</v>
      </c>
      <c r="F108" s="63">
        <f>IF(E108&gt;0, SUMIFS(Май_2025[[#ALL],[Выручка (руб/мес)]],Май_2025[[#ALL],[Филиал ТЦ]],E$98,Май_2025[[#ALL],[Категория]],$A108)/SUMIFS(Май_2025[[#ALL],[Продажи/мес]],Май_2025[[#ALL],[Филиал ТЦ]],E$98,Май_2025[[#ALL],[Категория]],$A108), "нет категории")</f>
        <v>8628.571429</v>
      </c>
      <c r="G108" s="64">
        <f>IF(E108&gt;0,SUMIFS(Май_2025[[#ALL],[Выручка (руб/мес)]],Май_2025[[#ALL],[Филиал ТЦ]],E$98,Май_2025[[#ALL],[Категория]],$A108)/SUMIFS(Май_2025[[#ALL],[Площадь (м²)]],Май_2025[[#ALL],[Филиал ТЦ]],E$98,Май_2025[[#ALL],[Категория]],$A108), "нет категории")</f>
        <v>3775</v>
      </c>
      <c r="H108" s="62">
        <f>SUMIFS(Май_2025[[#ALL],[Площадь (м²)]],Май_2025[[#ALL],[Филиал ТЦ]],H$98,Май_2025[[#ALL],[Категория]],$A108)/SUMIFS(Май_2025[[#ALL],[Площадь (м²)]],Май_2025[[#ALL],[Филиал ТЦ]],H$98)</f>
        <v>0.03773584906</v>
      </c>
      <c r="I108" s="63">
        <f>IF(H108&gt;0, SUMIFS(Май_2025[[#ALL],[Выручка (руб/мес)]],Май_2025[[#ALL],[Филиал ТЦ]],H$98,Май_2025[[#ALL],[Категория]],$A108)/SUMIFS(Май_2025[[#ALL],[Продажи/мес]],Май_2025[[#ALL],[Филиал ТЦ]],H$98,Май_2025[[#ALL],[Категория]],$A108), "нет категории")</f>
        <v>7000</v>
      </c>
      <c r="J108" s="64">
        <f>IF(H108&gt;0, SUMIFS(Май_2025[[#ALL],[Выручка (руб/мес)]],Май_2025[[#ALL],[Филиал ТЦ]],H$98,Май_2025[[#ALL],[Категория]],$A108)/SUMIFS(Май_2025[[#ALL],[Площадь (м²)]],Май_2025[[#ALL],[Филиал ТЦ]],H$98,Май_2025[[#ALL],[Категория]],$A108), "нет категории")</f>
        <v>3000</v>
      </c>
      <c r="K108" s="62">
        <f>SUMIFS(Май_2025[[#ALL],[Площадь (м²)]],Май_2025[[#ALL],[Филиал ТЦ]],K$98,Май_2025[[#ALL],[Категория]],$A108)/SUMIFS(Май_2025[[#ALL],[Площадь (м²)]],Май_2025[[#ALL],[Филиал ТЦ]],K$98)</f>
        <v>0.02575107296</v>
      </c>
      <c r="L108" s="63">
        <f>IF(K108&gt;0, SUMIFS(Май_2025[[#ALL],[Выручка (руб/мес)]],Май_2025[[#ALL],[Филиал ТЦ]],K$98,Май_2025[[#ALL],[Категория]],$A108)/SUMIFS(Май_2025[[#ALL],[Продажи/мес]],Май_2025[[#ALL],[Филиал ТЦ]],K$98,Май_2025[[#ALL],[Категория]],$A108), "нет категории")</f>
        <v>6000</v>
      </c>
      <c r="M108" s="64">
        <f>IF(K108&gt;0, SUMIFS(Май_2025[[#ALL],[Выручка (руб/мес)]],Май_2025[[#ALL],[Филиал ТЦ]],K$98,Май_2025[[#ALL],[Категория]],$A108)/SUMIFS(Май_2025[[#ALL],[Площадь (м²)]],Май_2025[[#ALL],[Филиал ТЦ]],K$98,Май_2025[[#ALL],[Категория]],$A108), "нет категории")</f>
        <v>2500</v>
      </c>
    </row>
    <row r="109">
      <c r="A109" s="61" t="s">
        <v>12</v>
      </c>
      <c r="B109" s="62">
        <f>SUMIFS(Май_2025[[#ALL],[Площадь (м²)]],Май_2025[[#ALL],[Филиал ТЦ]],B$98,Май_2025[[#ALL],[Категория]],$A109)/SUMIFS(Май_2025[[#ALL],[Площадь (м²)]],Май_2025[[#ALL],[Филиал ТЦ]],B$98)</f>
        <v>0.04820051414</v>
      </c>
      <c r="C109" s="63">
        <f>IF(B109&gt;0, SUMIFS(Май_2025[[#ALL],[Выручка (руб/мес)]],Май_2025[[#ALL],[Филиал ТЦ]],B$98,Май_2025[[#ALL],[Категория]],$A109)/SUMIFS(Май_2025[[#ALL],[Продажи/мес]],Май_2025[[#ALL],[Филиал ТЦ]],B$98,Май_2025[[#ALL],[Категория]],$A109), "нет категории")</f>
        <v>15000</v>
      </c>
      <c r="D109" s="64">
        <f>IF(B109&gt;0, SUMIFS(Май_2025[[#ALL],[Выручка (руб/мес)]],Май_2025[[#ALL],[Филиал ТЦ]],B$98,Май_2025[[#ALL],[Категория]],$A109)/SUMIFS(Май_2025[[#ALL],[Площадь (м²)]],Май_2025[[#ALL],[Филиал ТЦ]],B$98,Май_2025[[#ALL],[Категория]],$A109), "нет категории")</f>
        <v>8500</v>
      </c>
      <c r="E109" s="62">
        <f>SUMIFS(Май_2025[[#ALL],[Площадь (м²)]],Май_2025[[#ALL],[Филиал ТЦ]],E$98,Май_2025[[#ALL],[Категория]],$A109)/SUMIFS(Май_2025[[#ALL],[Площадь (м²)]],Май_2025[[#ALL],[Филиал ТЦ]],E$98)</f>
        <v>0.06433823529</v>
      </c>
      <c r="F109" s="63">
        <f>IF(E109&gt;0, SUMIFS(Май_2025[[#ALL],[Выручка (руб/мес)]],Май_2025[[#ALL],[Филиал ТЦ]],E$98,Май_2025[[#ALL],[Категория]],$A109)/SUMIFS(Май_2025[[#ALL],[Продажи/мес]],Май_2025[[#ALL],[Филиал ТЦ]],E$98,Май_2025[[#ALL],[Категория]],$A109), "нет категории")</f>
        <v>14929.57746</v>
      </c>
      <c r="G109" s="64">
        <f>IF(E109&gt;0,SUMIFS(Май_2025[[#ALL],[Выручка (руб/мес)]],Май_2025[[#ALL],[Филиал ТЦ]],E$98,Май_2025[[#ALL],[Категория]],$A109)/SUMIFS(Май_2025[[#ALL],[Площадь (м²)]],Май_2025[[#ALL],[Филиал ТЦ]],E$98,Май_2025[[#ALL],[Категория]],$A109), "нет категории")</f>
        <v>7571.428571</v>
      </c>
      <c r="H109" s="62">
        <f>SUMIFS(Май_2025[[#ALL],[Площадь (м²)]],Май_2025[[#ALL],[Филиал ТЦ]],H$98,Май_2025[[#ALL],[Категория]],$A109)/SUMIFS(Май_2025[[#ALL],[Площадь (м²)]],Май_2025[[#ALL],[Филиал ТЦ]],H$98)</f>
        <v>0.07008086253</v>
      </c>
      <c r="I109" s="63">
        <f>IF(H109&gt;0, SUMIFS(Май_2025[[#ALL],[Выручка (руб/мес)]],Май_2025[[#ALL],[Филиал ТЦ]],H$98,Май_2025[[#ALL],[Категория]],$A109)/SUMIFS(Май_2025[[#ALL],[Продажи/мес]],Май_2025[[#ALL],[Филиал ТЦ]],H$98,Май_2025[[#ALL],[Категория]],$A109), "нет категории")</f>
        <v>16923.07692</v>
      </c>
      <c r="J109" s="64">
        <f>IF(H109&gt;0, SUMIFS(Май_2025[[#ALL],[Выручка (руб/мес)]],Май_2025[[#ALL],[Филиал ТЦ]],H$98,Май_2025[[#ALL],[Категория]],$A109)/SUMIFS(Май_2025[[#ALL],[Площадь (м²)]],Май_2025[[#ALL],[Филиал ТЦ]],H$98,Май_2025[[#ALL],[Категория]],$A109), "нет категории")</f>
        <v>8461.538462</v>
      </c>
      <c r="K109" s="62">
        <f>SUMIFS(Май_2025[[#ALL],[Площадь (м²)]],Май_2025[[#ALL],[Филиал ТЦ]],K$98,Май_2025[[#ALL],[Категория]],$A109)/SUMIFS(Май_2025[[#ALL],[Площадь (м²)]],Май_2025[[#ALL],[Филиал ТЦ]],K$98)</f>
        <v>0.05150214592</v>
      </c>
      <c r="L109" s="63">
        <f>IF(K109&gt;0, SUMIFS(Май_2025[[#ALL],[Выручка (руб/мес)]],Май_2025[[#ALL],[Филиал ТЦ]],K$98,Май_2025[[#ALL],[Категория]],$A109)/SUMIFS(Май_2025[[#ALL],[Продажи/мес]],Май_2025[[#ALL],[Филиал ТЦ]],K$98,Май_2025[[#ALL],[Категория]],$A109), "нет категории")</f>
        <v>15000</v>
      </c>
      <c r="M109" s="64">
        <f>IF(K109&gt;0, SUMIFS(Май_2025[[#ALL],[Выручка (руб/мес)]],Май_2025[[#ALL],[Филиал ТЦ]],K$98,Май_2025[[#ALL],[Категория]],$A109)/SUMIFS(Май_2025[[#ALL],[Площадь (м²)]],Май_2025[[#ALL],[Филиал ТЦ]],K$98,Май_2025[[#ALL],[Категория]],$A109), "нет категории")</f>
        <v>7500</v>
      </c>
    </row>
    <row r="110">
      <c r="A110" s="61" t="s">
        <v>149</v>
      </c>
      <c r="B110" s="62">
        <f>SUMIFS(Май_2025[[#ALL],[Площадь (м²)]],Май_2025[[#ALL],[Филиал ТЦ]],B$98,Май_2025[[#ALL],[Категория]],$A110)/SUMIFS(Май_2025[[#ALL],[Площадь (м²)]],Май_2025[[#ALL],[Филиал ТЦ]],B$98)</f>
        <v>0.04177377892</v>
      </c>
      <c r="C110" s="63">
        <f>IF(B110&gt;0, SUMIFS(Май_2025[[#ALL],[Выручка (руб/мес)]],Май_2025[[#ALL],[Филиал ТЦ]],B$98,Май_2025[[#ALL],[Категория]],$A110)/SUMIFS(Май_2025[[#ALL],[Продажи/мес]],Май_2025[[#ALL],[Филиал ТЦ]],B$98,Май_2025[[#ALL],[Категория]],$A110), "нет категории")</f>
        <v>26000</v>
      </c>
      <c r="D110" s="64">
        <f>IF(B110&gt;0, SUMIFS(Май_2025[[#ALL],[Выручка (руб/мес)]],Май_2025[[#ALL],[Филиал ТЦ]],B$98,Май_2025[[#ALL],[Категория]],$A110)/SUMIFS(Май_2025[[#ALL],[Площадь (м²)]],Май_2025[[#ALL],[Филиал ТЦ]],B$98,Май_2025[[#ALL],[Категория]],$A110), "нет категории")</f>
        <v>14000</v>
      </c>
      <c r="E110" s="62">
        <f>SUMIFS(Май_2025[[#ALL],[Площадь (м²)]],Май_2025[[#ALL],[Филиал ТЦ]],E$98,Май_2025[[#ALL],[Категория]],$A110)/SUMIFS(Май_2025[[#ALL],[Площадь (м²)]],Май_2025[[#ALL],[Филиал ТЦ]],E$98)</f>
        <v>0.05514705882</v>
      </c>
      <c r="F110" s="63">
        <f>IF(E110&gt;0, SUMIFS(Май_2025[[#ALL],[Выручка (руб/мес)]],Май_2025[[#ALL],[Филиал ТЦ]],E$98,Май_2025[[#ALL],[Категория]],$A110)/SUMIFS(Май_2025[[#ALL],[Продажи/мес]],Май_2025[[#ALL],[Филиал ТЦ]],E$98,Май_2025[[#ALL],[Категория]],$A110), "нет категории")</f>
        <v>215384.6154</v>
      </c>
      <c r="G110" s="64">
        <f>IF(E110&gt;0,SUMIFS(Май_2025[[#ALL],[Выручка (руб/мес)]],Май_2025[[#ALL],[Филиал ТЦ]],E$98,Май_2025[[#ALL],[Категория]],$A110)/SUMIFS(Май_2025[[#ALL],[Площадь (м²)]],Май_2025[[#ALL],[Филиал ТЦ]],E$98,Май_2025[[#ALL],[Категория]],$A110), "нет категории")</f>
        <v>116666.6667</v>
      </c>
      <c r="H110" s="62">
        <f>SUMIFS(Май_2025[[#ALL],[Площадь (м²)]],Май_2025[[#ALL],[Филиал ТЦ]],H$98,Май_2025[[#ALL],[Категория]],$A110)/SUMIFS(Май_2025[[#ALL],[Площадь (м²)]],Май_2025[[#ALL],[Филиал ТЦ]],H$98)</f>
        <v>0.05929919137</v>
      </c>
      <c r="I110" s="63">
        <f>IF(H110&gt;0, SUMIFS(Май_2025[[#ALL],[Выручка (руб/мес)]],Май_2025[[#ALL],[Филиал ТЦ]],H$98,Май_2025[[#ALL],[Категория]],$A110)/SUMIFS(Май_2025[[#ALL],[Продажи/мес]],Май_2025[[#ALL],[Филиал ТЦ]],H$98,Май_2025[[#ALL],[Категория]],$A110), "нет категории")</f>
        <v>22000</v>
      </c>
      <c r="J110" s="64">
        <f>IF(H110&gt;0, SUMIFS(Май_2025[[#ALL],[Выручка (руб/мес)]],Май_2025[[#ALL],[Филиал ТЦ]],H$98,Май_2025[[#ALL],[Категория]],$A110)/SUMIFS(Май_2025[[#ALL],[Площадь (м²)]],Май_2025[[#ALL],[Филиал ТЦ]],H$98,Май_2025[[#ALL],[Категория]],$A110), "нет категории")</f>
        <v>12000</v>
      </c>
      <c r="K110" s="62">
        <f>SUMIFS(Май_2025[[#ALL],[Площадь (м²)]],Май_2025[[#ALL],[Филиал ТЦ]],K$98,Май_2025[[#ALL],[Категория]],$A110)/SUMIFS(Май_2025[[#ALL],[Площадь (м²)]],Май_2025[[#ALL],[Филиал ТЦ]],K$98)</f>
        <v>0.04291845494</v>
      </c>
      <c r="L110" s="63">
        <f>IF(K110&gt;0, SUMIFS(Май_2025[[#ALL],[Выручка (руб/мес)]],Май_2025[[#ALL],[Филиал ТЦ]],K$98,Май_2025[[#ALL],[Категория]],$A110)/SUMIFS(Май_2025[[#ALL],[Продажи/мес]],Май_2025[[#ALL],[Филиал ТЦ]],K$98,Май_2025[[#ALL],[Категория]],$A110), "нет категории")</f>
        <v>22000</v>
      </c>
      <c r="M110" s="64">
        <f>IF(K110&gt;0, SUMIFS(Май_2025[[#ALL],[Выручка (руб/мес)]],Май_2025[[#ALL],[Филиал ТЦ]],K$98,Май_2025[[#ALL],[Категория]],$A110)/SUMIFS(Май_2025[[#ALL],[Площадь (м²)]],Май_2025[[#ALL],[Филиал ТЦ]],K$98,Май_2025[[#ALL],[Категория]],$A110), "нет категории")</f>
        <v>12100</v>
      </c>
    </row>
    <row r="111">
      <c r="A111" s="61" t="s">
        <v>137</v>
      </c>
      <c r="B111" s="62">
        <f>SUMIFS(Май_2025[[#ALL],[Площадь (м²)]],Май_2025[[#ALL],[Филиал ТЦ]],B$98,Май_2025[[#ALL],[Категория]],$A111)/SUMIFS(Май_2025[[#ALL],[Площадь (м²)]],Май_2025[[#ALL],[Филиал ТЦ]],B$98)</f>
        <v>0</v>
      </c>
      <c r="C111" s="63" t="str">
        <f>IF(B111&gt;0, SUMIFS(Май_2025[[#ALL],[Выручка (руб/мес)]],Май_2025[[#ALL],[Филиал ТЦ]],B$98,Май_2025[[#ALL],[Категория]],$A111)/SUMIFS(Май_2025[[#ALL],[Продажи/мес]],Май_2025[[#ALL],[Филиал ТЦ]],B$98,Май_2025[[#ALL],[Категория]],$A111), "нет категории")</f>
        <v>нет категории</v>
      </c>
      <c r="D111" s="64" t="str">
        <f>IF(B111&gt;0, SUMIFS(Май_2025[[#ALL],[Выручка (руб/мес)]],Май_2025[[#ALL],[Филиал ТЦ]],B$98,Май_2025[[#ALL],[Категория]],$A111)/SUMIFS(Май_2025[[#ALL],[Площадь (м²)]],Май_2025[[#ALL],[Филиал ТЦ]],B$98,Май_2025[[#ALL],[Категория]],$A111), "нет категории")</f>
        <v>нет категории</v>
      </c>
      <c r="E111" s="62">
        <f>SUMIFS(Май_2025[[#ALL],[Площадь (м²)]],Май_2025[[#ALL],[Филиал ТЦ]],E$98,Май_2025[[#ALL],[Категория]],$A111)/SUMIFS(Май_2025[[#ALL],[Площадь (м²)]],Май_2025[[#ALL],[Филиал ТЦ]],E$98)</f>
        <v>0</v>
      </c>
      <c r="F111" s="63" t="str">
        <f>IF(E111&gt;0, SUMIFS(Май_2025[[#ALL],[Выручка (руб/мес)]],Май_2025[[#ALL],[Филиал ТЦ]],E$98,Май_2025[[#ALL],[Категория]],$A111)/SUMIFS(Май_2025[[#ALL],[Продажи/мес]],Май_2025[[#ALL],[Филиал ТЦ]],E$98,Май_2025[[#ALL],[Категория]],$A111), "нет категории")</f>
        <v>нет категории</v>
      </c>
      <c r="G111" s="64" t="str">
        <f>IF(E111&gt;0,SUMIFS(Май_2025[[#ALL],[Выручка (руб/мес)]],Май_2025[[#ALL],[Филиал ТЦ]],E$98,Май_2025[[#ALL],[Категория]],$A111)/SUMIFS(Май_2025[[#ALL],[Площадь (м²)]],Май_2025[[#ALL],[Филиал ТЦ]],E$98,Май_2025[[#ALL],[Категория]],$A111), "нет категории")</f>
        <v>нет категории</v>
      </c>
      <c r="H111" s="62">
        <f>SUMIFS(Май_2025[[#ALL],[Площадь (м²)]],Май_2025[[#ALL],[Филиал ТЦ]],H$98,Май_2025[[#ALL],[Категория]],$A111)/SUMIFS(Май_2025[[#ALL],[Площадь (м²)]],Май_2025[[#ALL],[Филиал ТЦ]],H$98)</f>
        <v>0</v>
      </c>
      <c r="I111" s="63" t="str">
        <f>IF(H111&gt;0, SUMIFS(Май_2025[[#ALL],[Выручка (руб/мес)]],Май_2025[[#ALL],[Филиал ТЦ]],H$98,Май_2025[[#ALL],[Категория]],$A111)/SUMIFS(Май_2025[[#ALL],[Продажи/мес]],Май_2025[[#ALL],[Филиал ТЦ]],H$98,Май_2025[[#ALL],[Категория]],$A111), "нет категории")</f>
        <v>нет категории</v>
      </c>
      <c r="J111" s="64" t="str">
        <f>IF(H111&gt;0, SUMIFS(Май_2025[[#ALL],[Выручка (руб/мес)]],Май_2025[[#ALL],[Филиал ТЦ]],H$98,Май_2025[[#ALL],[Категория]],$A111)/SUMIFS(Май_2025[[#ALL],[Площадь (м²)]],Май_2025[[#ALL],[Филиал ТЦ]],H$98,Май_2025[[#ALL],[Категория]],$A111), "нет категории")</f>
        <v>нет категории</v>
      </c>
      <c r="K111" s="62">
        <f>SUMIFS(Май_2025[[#ALL],[Площадь (м²)]],Май_2025[[#ALL],[Филиал ТЦ]],K$98,Май_2025[[#ALL],[Категория]],$A111)/SUMIFS(Май_2025[[#ALL],[Площадь (м²)]],Май_2025[[#ALL],[Филиал ТЦ]],K$98)</f>
        <v>0.186695279</v>
      </c>
      <c r="L111" s="63" t="str">
        <f>IF(K111&gt;0, SUMIFS(Май_2025[[#ALL],[Выручка (руб/мес)]],Май_2025[[#ALL],[Филиал ТЦ]],K$98,Май_2025[[#ALL],[Категория]],$A111)/SUMIFS(Май_2025[[#ALL],[Продажи/мес]],Май_2025[[#ALL],[Филиал ТЦ]],K$98,Май_2025[[#ALL],[Категория]],$A111), "нет категории")</f>
        <v>#DIV/0!</v>
      </c>
      <c r="M111" s="64">
        <f>IF(K111&gt;0, SUMIFS(Май_2025[[#ALL],[Выручка (руб/мес)]],Май_2025[[#ALL],[Филиал ТЦ]],K$98,Май_2025[[#ALL],[Категория]],$A111)/SUMIFS(Май_2025[[#ALL],[Площадь (м²)]],Май_2025[[#ALL],[Филиал ТЦ]],K$98,Май_2025[[#ALL],[Категория]],$A111), "нет категории")</f>
        <v>0</v>
      </c>
    </row>
    <row r="112">
      <c r="A112" s="31"/>
      <c r="B112" s="31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</row>
    <row r="113">
      <c r="A113" s="31"/>
      <c r="B113" s="31"/>
      <c r="C113" s="28"/>
      <c r="D113" s="31"/>
      <c r="E113" s="28"/>
      <c r="F113" s="32"/>
      <c r="H113" s="28"/>
      <c r="I113" s="28"/>
      <c r="J113" s="28"/>
      <c r="K113" s="28"/>
      <c r="L113" s="28"/>
      <c r="M113" s="28"/>
    </row>
  </sheetData>
  <mergeCells count="4">
    <mergeCell ref="B98:D98"/>
    <mergeCell ref="E98:G98"/>
    <mergeCell ref="H98:J98"/>
    <mergeCell ref="K98:M98"/>
  </mergeCells>
  <conditionalFormatting sqref="C100:C111 F100:F111 I100:I111 L100:L111">
    <cfRule type="colorScale" priority="1">
      <colorScale>
        <cfvo type="min"/>
        <cfvo type="max"/>
        <color rgb="FFFFFFFF"/>
        <color rgb="FFCCCCCC"/>
      </colorScale>
    </cfRule>
  </conditionalFormatting>
  <conditionalFormatting sqref="C100:C111 F100:F111 I100:I111 L100:L111">
    <cfRule type="colorScale" priority="2">
      <colorScale>
        <cfvo type="min"/>
        <cfvo type="max"/>
        <color rgb="FFFFFFFF"/>
        <color rgb="FFCCCCCC"/>
      </colorScale>
    </cfRule>
  </conditionalFormatting>
  <conditionalFormatting sqref="I100:I111 L100:L111">
    <cfRule type="colorScale" priority="3">
      <colorScale>
        <cfvo type="min"/>
        <cfvo type="max"/>
        <color rgb="FFFFFFFF"/>
        <color rgb="FFD9D9D9"/>
      </colorScale>
    </cfRule>
  </conditionalFormatting>
  <conditionalFormatting sqref="L100:L111">
    <cfRule type="colorScale" priority="4">
      <colorScale>
        <cfvo type="min"/>
        <cfvo type="max"/>
        <color rgb="FFFFFFFF"/>
        <color rgb="FFD9D9D9"/>
      </colorScale>
    </cfRule>
  </conditionalFormatting>
  <conditionalFormatting sqref="D100:D111 G100:G111 J100:J111 M100:M111">
    <cfRule type="colorScale" priority="5">
      <colorScale>
        <cfvo type="min"/>
        <cfvo type="max"/>
        <color rgb="FFFFFFFF"/>
        <color rgb="FFD9EAD3"/>
      </colorScale>
    </cfRule>
  </conditionalFormatting>
  <conditionalFormatting sqref="D100:D111 G100:G112 J100:J111 M100:M111">
    <cfRule type="colorScale" priority="6">
      <colorScale>
        <cfvo type="min"/>
        <cfvo type="max"/>
        <color rgb="FFFFFFFF"/>
        <color rgb="FFD9EAD3"/>
      </colorScale>
    </cfRule>
  </conditionalFormatting>
  <conditionalFormatting sqref="J100:J111 M100:M111">
    <cfRule type="colorScale" priority="7">
      <colorScale>
        <cfvo type="min"/>
        <cfvo type="max"/>
        <color rgb="FFFFFFFF"/>
        <color rgb="FFD9EAD3"/>
      </colorScale>
    </cfRule>
  </conditionalFormatting>
  <conditionalFormatting sqref="M100:M111">
    <cfRule type="colorScale" priority="8">
      <colorScale>
        <cfvo type="min"/>
        <cfvo type="max"/>
        <color rgb="FFFFFFFF"/>
        <color rgb="FFD9EAD3"/>
      </colorScale>
    </cfRule>
  </conditionalFormatting>
  <conditionalFormatting sqref="B100:B111 K100:K111">
    <cfRule type="colorScale" priority="9">
      <colorScale>
        <cfvo type="min"/>
        <cfvo type="max"/>
        <color rgb="FFFFFFFF"/>
        <color rgb="FFD9E2F3"/>
      </colorScale>
    </cfRule>
  </conditionalFormatting>
  <conditionalFormatting sqref="E100:E111">
    <cfRule type="colorScale" priority="10">
      <colorScale>
        <cfvo type="min"/>
        <cfvo type="max"/>
        <color rgb="FFFFFFFF"/>
        <color rgb="FFD9E2F3"/>
      </colorScale>
    </cfRule>
  </conditionalFormatting>
  <conditionalFormatting sqref="H100:H111">
    <cfRule type="colorScale" priority="11">
      <colorScale>
        <cfvo type="min"/>
        <cfvo type="max"/>
        <color rgb="FFFFFFFF"/>
        <color rgb="FFD9E2F3"/>
      </colorScale>
    </cfRule>
  </conditionalFormatting>
  <conditionalFormatting sqref="K100:K111">
    <cfRule type="colorScale" priority="12">
      <colorScale>
        <cfvo type="min"/>
        <cfvo type="max"/>
        <color rgb="FFFFFFFF"/>
        <color rgb="FFD9E2F3"/>
      </colorScale>
    </cfRule>
  </conditionalFormatting>
  <dataValidations>
    <dataValidation type="list" allowBlank="1" sqref="A2:A80">
      <formula1>"Мебельный Плаза,Гранд Интерьер,Дом Будущего,Уютный Квартал"</formula1>
    </dataValidation>
    <dataValidation type="list" allowBlank="1" sqref="A91:A94">
      <formula1>"Мебельный Плаза,Гранд Интерьер,Дом Будущего,Уютный Квартал"</formula1>
    </dataValidation>
    <dataValidation type="list" allowBlank="1" sqref="D2:D80">
      <formula1>"Кухонная мебель,Мягкая мебель,Столы и стулья,Предметы интерьера,Детская мебель,Корпусная мебель,Офисная мебель,Кровати и матрасы,Уличная мебель,Двери,Техника,Пустой"</formula1>
    </dataValidation>
    <dataValidation type="custom" allowBlank="1" showDropDown="1" sqref="E2:I80 B91:B94 F91:I94">
      <formula1>AND(ISNUMBER(B2),(NOT(OR(NOT(ISERROR(DATEVALUE(B2))), AND(ISNUMBER(B2), LEFT(CELL("format", B2))="D")))))</formula1>
    </dataValidation>
  </dataValidations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43"/>
    <col customWidth="1" min="2" max="2" width="18.43"/>
    <col customWidth="1" min="3" max="3" width="21.57"/>
    <col customWidth="1" min="4" max="4" width="24.43"/>
    <col customWidth="1" min="5" max="5" width="18.29"/>
    <col customWidth="1" min="6" max="6" width="22.0"/>
    <col customWidth="1" min="7" max="7" width="20.86"/>
    <col customWidth="1" min="8" max="8" width="20.14"/>
    <col customWidth="1" min="9" max="9" width="23.0"/>
    <col customWidth="1" min="10" max="10" width="15.0"/>
    <col customWidth="1" min="11" max="11" width="13.0"/>
    <col customWidth="1" min="12" max="12" width="17.86"/>
    <col customWidth="1" min="13" max="13" width="15.29"/>
  </cols>
  <sheetData>
    <row r="1">
      <c r="A1" s="1" t="s">
        <v>0</v>
      </c>
      <c r="B1" s="1" t="s">
        <v>1</v>
      </c>
      <c r="C1" s="1" t="s">
        <v>178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s">
        <v>10</v>
      </c>
      <c r="C2" s="3" t="s">
        <v>11</v>
      </c>
      <c r="D2" s="4" t="s">
        <v>12</v>
      </c>
      <c r="E2" s="5">
        <v>401.0</v>
      </c>
      <c r="F2" s="5">
        <v>140.0</v>
      </c>
      <c r="G2" s="5">
        <v>75.0</v>
      </c>
      <c r="H2" s="6">
        <v>1150000.0</v>
      </c>
      <c r="I2" s="7">
        <v>5000.0</v>
      </c>
    </row>
    <row r="3">
      <c r="A3" s="2" t="s">
        <v>13</v>
      </c>
      <c r="B3" s="3" t="s">
        <v>14</v>
      </c>
      <c r="C3" s="3" t="s">
        <v>15</v>
      </c>
      <c r="D3" s="4" t="s">
        <v>12</v>
      </c>
      <c r="E3" s="5">
        <v>102.0</v>
      </c>
      <c r="F3" s="5">
        <v>130.0</v>
      </c>
      <c r="G3" s="5">
        <v>65.0</v>
      </c>
      <c r="H3" s="6">
        <v>1200000.0</v>
      </c>
      <c r="I3" s="7">
        <v>0.0</v>
      </c>
    </row>
    <row r="4">
      <c r="A4" s="2" t="s">
        <v>16</v>
      </c>
      <c r="B4" s="3" t="s">
        <v>17</v>
      </c>
      <c r="C4" s="3" t="s">
        <v>18</v>
      </c>
      <c r="D4" s="4" t="s">
        <v>12</v>
      </c>
      <c r="E4" s="5">
        <v>201.0</v>
      </c>
      <c r="F4" s="5">
        <v>150.0</v>
      </c>
      <c r="G4" s="5">
        <v>85.0</v>
      </c>
      <c r="H4" s="6">
        <v>1350000.0</v>
      </c>
      <c r="I4" s="7">
        <v>0.0</v>
      </c>
    </row>
    <row r="5">
      <c r="A5" s="2" t="s">
        <v>19</v>
      </c>
      <c r="B5" s="3" t="s">
        <v>20</v>
      </c>
      <c r="C5" s="3" t="s">
        <v>21</v>
      </c>
      <c r="D5" s="4" t="s">
        <v>12</v>
      </c>
      <c r="E5" s="5">
        <v>319.0</v>
      </c>
      <c r="F5" s="5">
        <v>120.0</v>
      </c>
      <c r="G5" s="5">
        <v>60.0</v>
      </c>
      <c r="H5" s="6">
        <v>1100000.0</v>
      </c>
      <c r="I5" s="7">
        <v>0.0</v>
      </c>
    </row>
    <row r="6">
      <c r="A6" s="2" t="s">
        <v>9</v>
      </c>
      <c r="B6" s="3" t="s">
        <v>22</v>
      </c>
      <c r="C6" s="3" t="s">
        <v>23</v>
      </c>
      <c r="D6" s="4" t="s">
        <v>24</v>
      </c>
      <c r="E6" s="5">
        <v>403.0</v>
      </c>
      <c r="F6" s="5">
        <v>130.0</v>
      </c>
      <c r="G6" s="5">
        <v>60.0</v>
      </c>
      <c r="H6" s="6">
        <v>1040000.0</v>
      </c>
      <c r="I6" s="7">
        <v>60000.0</v>
      </c>
    </row>
    <row r="7">
      <c r="A7" s="8" t="s">
        <v>9</v>
      </c>
      <c r="B7" s="3" t="s">
        <v>25</v>
      </c>
      <c r="C7" s="9" t="s">
        <v>26</v>
      </c>
      <c r="D7" s="10" t="s">
        <v>24</v>
      </c>
      <c r="E7" s="5">
        <v>405.0</v>
      </c>
      <c r="F7" s="11">
        <v>50.0</v>
      </c>
      <c r="G7" s="11">
        <v>4.0</v>
      </c>
      <c r="H7" s="12">
        <v>760000.0</v>
      </c>
      <c r="I7" s="13">
        <v>0.0</v>
      </c>
    </row>
    <row r="8">
      <c r="A8" s="2" t="s">
        <v>13</v>
      </c>
      <c r="B8" s="3" t="s">
        <v>27</v>
      </c>
      <c r="C8" s="3" t="s">
        <v>28</v>
      </c>
      <c r="D8" s="4" t="s">
        <v>24</v>
      </c>
      <c r="E8" s="5">
        <v>104.0</v>
      </c>
      <c r="F8" s="5">
        <v>96.0</v>
      </c>
      <c r="G8" s="5">
        <v>13.0</v>
      </c>
      <c r="H8" s="6">
        <v>990000.0</v>
      </c>
      <c r="I8" s="7">
        <v>30000.0</v>
      </c>
    </row>
    <row r="9">
      <c r="A9" s="14" t="s">
        <v>13</v>
      </c>
      <c r="B9" s="3" t="s">
        <v>29</v>
      </c>
      <c r="C9" s="9" t="s">
        <v>30</v>
      </c>
      <c r="D9" s="10" t="s">
        <v>24</v>
      </c>
      <c r="E9" s="5">
        <v>106.0</v>
      </c>
      <c r="F9" s="11">
        <v>53.0</v>
      </c>
      <c r="G9" s="11">
        <v>4.0</v>
      </c>
      <c r="H9" s="12">
        <v>630000.0</v>
      </c>
      <c r="I9" s="13">
        <v>0.0</v>
      </c>
    </row>
    <row r="10">
      <c r="A10" s="2" t="s">
        <v>16</v>
      </c>
      <c r="B10" s="3" t="s">
        <v>31</v>
      </c>
      <c r="C10" s="3" t="s">
        <v>26</v>
      </c>
      <c r="D10" s="4" t="s">
        <v>24</v>
      </c>
      <c r="E10" s="5">
        <v>202.0</v>
      </c>
      <c r="F10" s="5">
        <v>140.0</v>
      </c>
      <c r="G10" s="5">
        <v>10.0</v>
      </c>
      <c r="H10" s="6">
        <v>1190000.0</v>
      </c>
      <c r="I10" s="7">
        <v>0.0</v>
      </c>
    </row>
    <row r="11">
      <c r="A11" s="15" t="s">
        <v>16</v>
      </c>
      <c r="B11" s="3" t="s">
        <v>32</v>
      </c>
      <c r="C11" s="16" t="s">
        <v>33</v>
      </c>
      <c r="D11" s="10" t="s">
        <v>24</v>
      </c>
      <c r="E11" s="5">
        <v>203.0</v>
      </c>
      <c r="F11" s="11">
        <v>91.0</v>
      </c>
      <c r="G11" s="11">
        <v>26.0</v>
      </c>
      <c r="H11" s="12">
        <v>1500000.0</v>
      </c>
      <c r="I11" s="13">
        <v>0.0</v>
      </c>
    </row>
    <row r="12">
      <c r="A12" s="17" t="s">
        <v>19</v>
      </c>
      <c r="B12" s="3" t="s">
        <v>36</v>
      </c>
      <c r="C12" s="9" t="s">
        <v>37</v>
      </c>
      <c r="D12" s="10" t="s">
        <v>24</v>
      </c>
      <c r="E12" s="5">
        <v>317.0</v>
      </c>
      <c r="F12" s="11">
        <v>42.0</v>
      </c>
      <c r="G12" s="11">
        <v>3.0</v>
      </c>
      <c r="H12" s="12">
        <v>560000.0</v>
      </c>
      <c r="I12" s="13">
        <v>0.0</v>
      </c>
    </row>
    <row r="13">
      <c r="A13" s="2" t="s">
        <v>19</v>
      </c>
      <c r="B13" s="3" t="s">
        <v>34</v>
      </c>
      <c r="C13" s="3" t="s">
        <v>35</v>
      </c>
      <c r="D13" s="4" t="s">
        <v>24</v>
      </c>
      <c r="E13" s="5">
        <v>318.0</v>
      </c>
      <c r="F13" s="5">
        <v>110.0</v>
      </c>
      <c r="G13" s="5">
        <v>50.0</v>
      </c>
      <c r="H13" s="6">
        <v>900000.0</v>
      </c>
      <c r="I13" s="7">
        <v>0.0</v>
      </c>
    </row>
    <row r="14">
      <c r="A14" s="2" t="s">
        <v>9</v>
      </c>
      <c r="B14" s="3" t="s">
        <v>38</v>
      </c>
      <c r="C14" s="3" t="s">
        <v>39</v>
      </c>
      <c r="D14" s="4" t="s">
        <v>40</v>
      </c>
      <c r="E14" s="5">
        <v>419.0</v>
      </c>
      <c r="F14" s="5">
        <v>190.0</v>
      </c>
      <c r="G14" s="5">
        <v>45.0</v>
      </c>
      <c r="H14" s="6">
        <v>2415000.0</v>
      </c>
      <c r="I14" s="7">
        <v>0.0</v>
      </c>
    </row>
    <row r="15">
      <c r="A15" s="2" t="s">
        <v>9</v>
      </c>
      <c r="B15" s="3" t="s">
        <v>41</v>
      </c>
      <c r="C15" s="3" t="s">
        <v>42</v>
      </c>
      <c r="D15" s="4" t="s">
        <v>40</v>
      </c>
      <c r="E15" s="5">
        <v>430.0</v>
      </c>
      <c r="F15" s="5">
        <v>255.0</v>
      </c>
      <c r="G15" s="5">
        <v>35.0</v>
      </c>
      <c r="H15" s="6">
        <v>2500000.0</v>
      </c>
      <c r="I15" s="7">
        <v>24670.0</v>
      </c>
    </row>
    <row r="16">
      <c r="A16" s="2" t="s">
        <v>13</v>
      </c>
      <c r="B16" s="3" t="s">
        <v>43</v>
      </c>
      <c r="C16" s="3" t="s">
        <v>44</v>
      </c>
      <c r="D16" s="4" t="s">
        <v>40</v>
      </c>
      <c r="E16" s="5">
        <v>120.0</v>
      </c>
      <c r="F16" s="5">
        <v>180.0</v>
      </c>
      <c r="G16" s="5">
        <v>23.0</v>
      </c>
      <c r="H16" s="6">
        <v>2160000.0</v>
      </c>
      <c r="I16" s="7">
        <v>90000.0</v>
      </c>
    </row>
    <row r="17">
      <c r="A17" s="2" t="s">
        <v>13</v>
      </c>
      <c r="B17" s="3" t="s">
        <v>45</v>
      </c>
      <c r="C17" s="16" t="s">
        <v>46</v>
      </c>
      <c r="D17" s="4" t="s">
        <v>40</v>
      </c>
      <c r="E17" s="5">
        <v>135.0</v>
      </c>
      <c r="F17" s="5">
        <v>66.0</v>
      </c>
      <c r="G17" s="5">
        <v>6.0</v>
      </c>
      <c r="H17" s="6">
        <v>540000.0</v>
      </c>
      <c r="I17" s="7">
        <v>16300.0</v>
      </c>
    </row>
    <row r="18">
      <c r="A18" s="2" t="s">
        <v>16</v>
      </c>
      <c r="B18" s="3" t="s">
        <v>47</v>
      </c>
      <c r="C18" s="3" t="s">
        <v>48</v>
      </c>
      <c r="D18" s="4" t="s">
        <v>40</v>
      </c>
      <c r="E18" s="5">
        <v>210.0</v>
      </c>
      <c r="F18" s="5">
        <v>200.0</v>
      </c>
      <c r="G18" s="5">
        <v>34.0</v>
      </c>
      <c r="H18" s="6">
        <v>2400000.0</v>
      </c>
      <c r="I18" s="7">
        <v>0.0</v>
      </c>
    </row>
    <row r="19">
      <c r="A19" s="2" t="s">
        <v>16</v>
      </c>
      <c r="B19" s="3" t="s">
        <v>49</v>
      </c>
      <c r="C19" s="16" t="s">
        <v>50</v>
      </c>
      <c r="D19" s="4" t="s">
        <v>40</v>
      </c>
      <c r="E19" s="5">
        <v>220.0</v>
      </c>
      <c r="F19" s="5">
        <v>96.0</v>
      </c>
      <c r="G19" s="5">
        <v>18.0</v>
      </c>
      <c r="H19" s="6">
        <v>1800000.0</v>
      </c>
      <c r="I19" s="7">
        <v>18460.0</v>
      </c>
    </row>
    <row r="20">
      <c r="A20" s="2" t="s">
        <v>19</v>
      </c>
      <c r="B20" s="3" t="s">
        <v>51</v>
      </c>
      <c r="C20" s="3" t="s">
        <v>52</v>
      </c>
      <c r="D20" s="4" t="s">
        <v>40</v>
      </c>
      <c r="E20" s="5">
        <v>310.0</v>
      </c>
      <c r="F20" s="5">
        <v>170.0</v>
      </c>
      <c r="G20" s="5">
        <v>16.0</v>
      </c>
      <c r="H20" s="6">
        <v>2465000.0</v>
      </c>
      <c r="I20" s="7">
        <v>0.0</v>
      </c>
    </row>
    <row r="21">
      <c r="A21" s="2" t="s">
        <v>19</v>
      </c>
      <c r="B21" s="3" t="s">
        <v>53</v>
      </c>
      <c r="C21" s="16" t="s">
        <v>54</v>
      </c>
      <c r="D21" s="4" t="s">
        <v>40</v>
      </c>
      <c r="E21" s="5">
        <v>434.0</v>
      </c>
      <c r="F21" s="5">
        <v>46.0</v>
      </c>
      <c r="G21" s="5">
        <v>11.0</v>
      </c>
      <c r="H21" s="6">
        <v>1500000.0</v>
      </c>
      <c r="I21" s="7">
        <v>11900.0</v>
      </c>
    </row>
    <row r="22">
      <c r="A22" s="2" t="s">
        <v>16</v>
      </c>
      <c r="B22" s="3" t="s">
        <v>55</v>
      </c>
      <c r="C22" s="3" t="s">
        <v>56</v>
      </c>
      <c r="D22" s="4" t="s">
        <v>57</v>
      </c>
      <c r="E22" s="5">
        <v>204.0</v>
      </c>
      <c r="F22" s="5">
        <v>170.0</v>
      </c>
      <c r="G22" s="5">
        <v>80.0</v>
      </c>
      <c r="H22" s="6">
        <v>1360000.0</v>
      </c>
      <c r="I22" s="7">
        <v>0.0</v>
      </c>
    </row>
    <row r="23">
      <c r="A23" s="2" t="s">
        <v>16</v>
      </c>
      <c r="B23" s="3" t="s">
        <v>58</v>
      </c>
      <c r="C23" s="16" t="s">
        <v>59</v>
      </c>
      <c r="D23" s="4" t="s">
        <v>57</v>
      </c>
      <c r="E23" s="5">
        <v>205.0</v>
      </c>
      <c r="F23" s="5">
        <v>620.0</v>
      </c>
      <c r="G23" s="5">
        <v>47.0</v>
      </c>
      <c r="H23" s="6">
        <v>7500000.0</v>
      </c>
      <c r="I23" s="7">
        <v>0.0</v>
      </c>
    </row>
    <row r="24">
      <c r="A24" s="2" t="s">
        <v>19</v>
      </c>
      <c r="B24" s="3" t="s">
        <v>62</v>
      </c>
      <c r="C24" s="16" t="s">
        <v>59</v>
      </c>
      <c r="D24" s="4" t="s">
        <v>57</v>
      </c>
      <c r="E24" s="5">
        <v>315.0</v>
      </c>
      <c r="F24" s="5">
        <v>45.0</v>
      </c>
      <c r="G24" s="5">
        <v>14.0</v>
      </c>
      <c r="H24" s="6">
        <v>475000.0</v>
      </c>
      <c r="I24" s="7">
        <v>0.0</v>
      </c>
    </row>
    <row r="25">
      <c r="A25" s="2" t="s">
        <v>19</v>
      </c>
      <c r="B25" s="3" t="s">
        <v>60</v>
      </c>
      <c r="C25" s="3" t="s">
        <v>61</v>
      </c>
      <c r="D25" s="4" t="s">
        <v>57</v>
      </c>
      <c r="E25" s="5">
        <v>316.0</v>
      </c>
      <c r="F25" s="5">
        <v>92.0</v>
      </c>
      <c r="G25" s="5">
        <v>9.0</v>
      </c>
      <c r="H25" s="6">
        <v>319000.0</v>
      </c>
      <c r="I25" s="7">
        <v>0.0</v>
      </c>
    </row>
    <row r="26">
      <c r="A26" s="2" t="s">
        <v>9</v>
      </c>
      <c r="B26" s="3" t="s">
        <v>63</v>
      </c>
      <c r="C26" s="3" t="s">
        <v>64</v>
      </c>
      <c r="D26" s="4" t="s">
        <v>65</v>
      </c>
      <c r="E26" s="5">
        <v>431.0</v>
      </c>
      <c r="F26" s="5">
        <v>170.0</v>
      </c>
      <c r="G26" s="5">
        <v>27.0</v>
      </c>
      <c r="H26" s="6">
        <v>3700500.0</v>
      </c>
      <c r="I26" s="7">
        <v>0.0</v>
      </c>
    </row>
    <row r="27">
      <c r="A27" s="2" t="s">
        <v>9</v>
      </c>
      <c r="B27" s="3" t="s">
        <v>66</v>
      </c>
      <c r="C27" s="16" t="s">
        <v>67</v>
      </c>
      <c r="D27" s="4" t="s">
        <v>65</v>
      </c>
      <c r="E27" s="5">
        <v>433.0</v>
      </c>
      <c r="F27" s="18">
        <v>66.0</v>
      </c>
      <c r="G27" s="18">
        <v>1.0</v>
      </c>
      <c r="H27" s="19">
        <v>890000.0</v>
      </c>
      <c r="I27" s="20">
        <v>50000.0</v>
      </c>
    </row>
    <row r="28">
      <c r="A28" s="2" t="s">
        <v>9</v>
      </c>
      <c r="B28" s="3" t="s">
        <v>68</v>
      </c>
      <c r="C28" s="16" t="s">
        <v>69</v>
      </c>
      <c r="D28" s="4" t="s">
        <v>65</v>
      </c>
      <c r="E28" s="5">
        <v>435.0</v>
      </c>
      <c r="F28" s="18">
        <v>80.0</v>
      </c>
      <c r="G28" s="18">
        <v>2.0</v>
      </c>
      <c r="H28" s="19">
        <v>353000.0</v>
      </c>
      <c r="I28" s="20">
        <v>0.0</v>
      </c>
    </row>
    <row r="29">
      <c r="A29" s="2" t="s">
        <v>9</v>
      </c>
      <c r="B29" s="3" t="s">
        <v>70</v>
      </c>
      <c r="C29" s="16" t="s">
        <v>71</v>
      </c>
      <c r="D29" s="4" t="s">
        <v>65</v>
      </c>
      <c r="E29" s="5">
        <v>437.0</v>
      </c>
      <c r="F29" s="18">
        <v>45.0</v>
      </c>
      <c r="G29" s="18">
        <v>2.0</v>
      </c>
      <c r="H29" s="19">
        <v>75000.0</v>
      </c>
      <c r="I29" s="20">
        <v>45000.0</v>
      </c>
    </row>
    <row r="30">
      <c r="A30" s="2" t="s">
        <v>13</v>
      </c>
      <c r="B30" s="3" t="s">
        <v>72</v>
      </c>
      <c r="C30" s="3" t="s">
        <v>67</v>
      </c>
      <c r="D30" s="4" t="s">
        <v>65</v>
      </c>
      <c r="E30" s="5">
        <v>132.0</v>
      </c>
      <c r="F30" s="5">
        <v>160.0</v>
      </c>
      <c r="G30" s="5">
        <v>16.0</v>
      </c>
      <c r="H30" s="6">
        <v>2100000.0</v>
      </c>
      <c r="I30" s="7">
        <v>0.0</v>
      </c>
    </row>
    <row r="31">
      <c r="A31" s="2" t="s">
        <v>13</v>
      </c>
      <c r="B31" s="3" t="s">
        <v>73</v>
      </c>
      <c r="C31" s="16" t="s">
        <v>74</v>
      </c>
      <c r="D31" s="4" t="s">
        <v>65</v>
      </c>
      <c r="E31" s="5">
        <v>134.0</v>
      </c>
      <c r="F31" s="18">
        <v>15.0</v>
      </c>
      <c r="G31" s="18">
        <v>4.0</v>
      </c>
      <c r="H31" s="19">
        <v>90000.0</v>
      </c>
      <c r="I31" s="20">
        <v>0.0</v>
      </c>
    </row>
    <row r="32">
      <c r="A32" s="2" t="s">
        <v>13</v>
      </c>
      <c r="B32" s="3" t="s">
        <v>75</v>
      </c>
      <c r="C32" s="16" t="s">
        <v>67</v>
      </c>
      <c r="D32" s="4" t="s">
        <v>65</v>
      </c>
      <c r="E32" s="5">
        <v>136.0</v>
      </c>
      <c r="F32" s="18">
        <v>80.0</v>
      </c>
      <c r="G32" s="18">
        <v>9.0</v>
      </c>
      <c r="H32" s="19">
        <v>1350000.0</v>
      </c>
      <c r="I32" s="20">
        <v>0.0</v>
      </c>
    </row>
    <row r="33">
      <c r="A33" s="2" t="s">
        <v>13</v>
      </c>
      <c r="B33" s="3" t="s">
        <v>76</v>
      </c>
      <c r="C33" s="3" t="s">
        <v>77</v>
      </c>
      <c r="D33" s="4" t="s">
        <v>65</v>
      </c>
      <c r="E33" s="5">
        <v>138.0</v>
      </c>
      <c r="F33" s="18">
        <v>65.0</v>
      </c>
      <c r="G33" s="18">
        <v>2.0</v>
      </c>
      <c r="H33" s="19">
        <v>1900000.0</v>
      </c>
      <c r="I33" s="20">
        <v>0.0</v>
      </c>
    </row>
    <row r="34">
      <c r="A34" s="2" t="s">
        <v>16</v>
      </c>
      <c r="B34" s="3" t="s">
        <v>78</v>
      </c>
      <c r="C34" s="3" t="s">
        <v>79</v>
      </c>
      <c r="D34" s="4" t="s">
        <v>65</v>
      </c>
      <c r="E34" s="5">
        <v>216.0</v>
      </c>
      <c r="F34" s="5">
        <v>180.0</v>
      </c>
      <c r="G34" s="5">
        <v>25.0</v>
      </c>
      <c r="H34" s="6">
        <v>2900000.0</v>
      </c>
      <c r="I34" s="7">
        <v>70000.0</v>
      </c>
    </row>
    <row r="35">
      <c r="A35" s="2" t="s">
        <v>16</v>
      </c>
      <c r="B35" s="3" t="s">
        <v>80</v>
      </c>
      <c r="C35" s="3" t="s">
        <v>81</v>
      </c>
      <c r="D35" s="4" t="s">
        <v>65</v>
      </c>
      <c r="E35" s="5">
        <v>217.0</v>
      </c>
      <c r="F35" s="18">
        <v>90.0</v>
      </c>
      <c r="G35" s="18">
        <v>4.0</v>
      </c>
      <c r="H35" s="19">
        <v>2400000.0</v>
      </c>
      <c r="I35" s="20">
        <v>0.0</v>
      </c>
    </row>
    <row r="36">
      <c r="A36" s="2" t="s">
        <v>16</v>
      </c>
      <c r="B36" s="3" t="s">
        <v>82</v>
      </c>
      <c r="C36" s="3" t="s">
        <v>77</v>
      </c>
      <c r="D36" s="4" t="s">
        <v>65</v>
      </c>
      <c r="E36" s="5">
        <v>218.0</v>
      </c>
      <c r="F36" s="18">
        <v>90.0</v>
      </c>
      <c r="G36" s="18">
        <v>4.0</v>
      </c>
      <c r="H36" s="19">
        <v>8000000.0</v>
      </c>
      <c r="I36" s="20">
        <v>0.0</v>
      </c>
    </row>
    <row r="37">
      <c r="A37" s="2" t="s">
        <v>16</v>
      </c>
      <c r="B37" s="3" t="s">
        <v>83</v>
      </c>
      <c r="C37" s="3" t="s">
        <v>84</v>
      </c>
      <c r="D37" s="4" t="s">
        <v>65</v>
      </c>
      <c r="E37" s="5">
        <v>219.0</v>
      </c>
      <c r="F37" s="18">
        <v>90.0</v>
      </c>
      <c r="G37" s="18">
        <v>2.0</v>
      </c>
      <c r="H37" s="19">
        <v>1750000.0</v>
      </c>
      <c r="I37" s="20">
        <v>50000.0</v>
      </c>
    </row>
    <row r="38">
      <c r="A38" s="2" t="s">
        <v>19</v>
      </c>
      <c r="B38" s="3" t="s">
        <v>90</v>
      </c>
      <c r="C38" s="3" t="s">
        <v>81</v>
      </c>
      <c r="D38" s="4" t="s">
        <v>65</v>
      </c>
      <c r="E38" s="5">
        <v>301.0</v>
      </c>
      <c r="F38" s="18">
        <v>60.0</v>
      </c>
      <c r="G38" s="18">
        <v>7.0</v>
      </c>
      <c r="H38" s="19">
        <v>900000.0</v>
      </c>
      <c r="I38" s="20">
        <v>0.0</v>
      </c>
    </row>
    <row r="39">
      <c r="A39" s="2" t="s">
        <v>19</v>
      </c>
      <c r="B39" s="3" t="s">
        <v>88</v>
      </c>
      <c r="C39" s="16" t="s">
        <v>89</v>
      </c>
      <c r="D39" s="4" t="s">
        <v>65</v>
      </c>
      <c r="E39" s="5">
        <v>302.0</v>
      </c>
      <c r="F39" s="18">
        <v>90.0</v>
      </c>
      <c r="G39" s="18">
        <v>19.0</v>
      </c>
      <c r="H39" s="19">
        <v>4200000.0</v>
      </c>
      <c r="I39" s="20">
        <v>0.0</v>
      </c>
    </row>
    <row r="40">
      <c r="A40" s="2" t="s">
        <v>19</v>
      </c>
      <c r="B40" s="3" t="s">
        <v>87</v>
      </c>
      <c r="C40" s="16" t="s">
        <v>69</v>
      </c>
      <c r="D40" s="4" t="s">
        <v>65</v>
      </c>
      <c r="E40" s="5">
        <v>303.0</v>
      </c>
      <c r="F40" s="18">
        <v>40.0</v>
      </c>
      <c r="G40" s="18">
        <v>1.0</v>
      </c>
      <c r="H40" s="19">
        <v>2100000.0</v>
      </c>
      <c r="I40" s="20">
        <v>30000.0</v>
      </c>
    </row>
    <row r="41">
      <c r="A41" s="2" t="s">
        <v>19</v>
      </c>
      <c r="B41" s="3" t="s">
        <v>85</v>
      </c>
      <c r="C41" s="3" t="s">
        <v>86</v>
      </c>
      <c r="D41" s="4" t="s">
        <v>65</v>
      </c>
      <c r="E41" s="5">
        <v>304.0</v>
      </c>
      <c r="F41" s="5">
        <v>150.0</v>
      </c>
      <c r="G41" s="5">
        <v>20.0</v>
      </c>
      <c r="H41" s="6">
        <v>1800000.0</v>
      </c>
      <c r="I41" s="7">
        <v>90000.0</v>
      </c>
    </row>
    <row r="42">
      <c r="A42" s="2" t="s">
        <v>9</v>
      </c>
      <c r="B42" s="3" t="s">
        <v>91</v>
      </c>
      <c r="C42" s="3" t="s">
        <v>92</v>
      </c>
      <c r="D42" s="4" t="s">
        <v>93</v>
      </c>
      <c r="E42" s="5">
        <v>411.0</v>
      </c>
      <c r="F42" s="5">
        <v>210.0</v>
      </c>
      <c r="G42" s="5">
        <v>95.0</v>
      </c>
      <c r="H42" s="6">
        <v>3000000.0</v>
      </c>
      <c r="I42" s="7">
        <v>0.0</v>
      </c>
    </row>
    <row r="43">
      <c r="A43" s="2" t="s">
        <v>9</v>
      </c>
      <c r="B43" s="3" t="s">
        <v>94</v>
      </c>
      <c r="C43" s="16" t="s">
        <v>95</v>
      </c>
      <c r="D43" s="4" t="s">
        <v>93</v>
      </c>
      <c r="E43" s="5">
        <v>413.0</v>
      </c>
      <c r="F43" s="5">
        <v>70.0</v>
      </c>
      <c r="G43" s="5">
        <v>15.0</v>
      </c>
      <c r="H43" s="6">
        <v>750000.0</v>
      </c>
      <c r="I43" s="7">
        <v>0.0</v>
      </c>
    </row>
    <row r="44">
      <c r="A44" s="2" t="s">
        <v>9</v>
      </c>
      <c r="B44" s="3" t="s">
        <v>96</v>
      </c>
      <c r="C44" s="16" t="s">
        <v>97</v>
      </c>
      <c r="D44" s="4" t="s">
        <v>93</v>
      </c>
      <c r="E44" s="5">
        <v>415.0</v>
      </c>
      <c r="F44" s="5">
        <v>70.0</v>
      </c>
      <c r="G44" s="5">
        <v>8.0</v>
      </c>
      <c r="H44" s="6">
        <v>6000000.0</v>
      </c>
      <c r="I44" s="7">
        <v>10000.0</v>
      </c>
    </row>
    <row r="45">
      <c r="A45" s="2" t="s">
        <v>9</v>
      </c>
      <c r="B45" s="3" t="s">
        <v>98</v>
      </c>
      <c r="C45" s="16" t="s">
        <v>99</v>
      </c>
      <c r="D45" s="4" t="s">
        <v>93</v>
      </c>
      <c r="E45" s="5">
        <v>417.0</v>
      </c>
      <c r="F45" s="5">
        <v>70.0</v>
      </c>
      <c r="G45" s="5">
        <v>6.0</v>
      </c>
      <c r="H45" s="6">
        <v>600000.0</v>
      </c>
      <c r="I45" s="7">
        <v>0.0</v>
      </c>
    </row>
    <row r="46">
      <c r="A46" s="2" t="s">
        <v>13</v>
      </c>
      <c r="B46" s="3" t="s">
        <v>100</v>
      </c>
      <c r="C46" s="3" t="s">
        <v>101</v>
      </c>
      <c r="D46" s="4" t="s">
        <v>93</v>
      </c>
      <c r="E46" s="5">
        <v>112.0</v>
      </c>
      <c r="F46" s="5">
        <v>200.0</v>
      </c>
      <c r="G46" s="5">
        <v>90.0</v>
      </c>
      <c r="H46" s="6">
        <v>3300000.0</v>
      </c>
      <c r="I46" s="7">
        <v>0.0</v>
      </c>
    </row>
    <row r="47">
      <c r="A47" s="2" t="s">
        <v>13</v>
      </c>
      <c r="B47" s="3" t="s">
        <v>102</v>
      </c>
      <c r="C47" s="16" t="s">
        <v>99</v>
      </c>
      <c r="D47" s="4" t="s">
        <v>93</v>
      </c>
      <c r="E47" s="5">
        <v>114.0</v>
      </c>
      <c r="F47" s="5">
        <v>50.0</v>
      </c>
      <c r="G47" s="5">
        <v>8.0</v>
      </c>
      <c r="H47" s="6">
        <v>710000.0</v>
      </c>
      <c r="I47" s="7">
        <v>0.0</v>
      </c>
    </row>
    <row r="48">
      <c r="A48" s="2" t="s">
        <v>13</v>
      </c>
      <c r="B48" s="3" t="s">
        <v>103</v>
      </c>
      <c r="C48" s="16" t="s">
        <v>104</v>
      </c>
      <c r="D48" s="4" t="s">
        <v>93</v>
      </c>
      <c r="E48" s="5">
        <v>116.0</v>
      </c>
      <c r="F48" s="5">
        <v>150.0</v>
      </c>
      <c r="G48" s="5">
        <v>2.0</v>
      </c>
      <c r="H48" s="6">
        <v>1500000.0</v>
      </c>
      <c r="I48" s="7">
        <v>40000.0</v>
      </c>
    </row>
    <row r="49">
      <c r="A49" s="2" t="s">
        <v>13</v>
      </c>
      <c r="B49" s="3" t="s">
        <v>105</v>
      </c>
      <c r="C49" s="16" t="s">
        <v>106</v>
      </c>
      <c r="D49" s="4" t="s">
        <v>93</v>
      </c>
      <c r="E49" s="5">
        <v>118.0</v>
      </c>
      <c r="F49" s="5">
        <v>100.0</v>
      </c>
      <c r="G49" s="5">
        <v>32.0</v>
      </c>
      <c r="H49" s="6">
        <v>1850000.0</v>
      </c>
      <c r="I49" s="7">
        <v>0.0</v>
      </c>
    </row>
    <row r="50">
      <c r="A50" s="2" t="s">
        <v>16</v>
      </c>
      <c r="B50" s="3" t="s">
        <v>107</v>
      </c>
      <c r="C50" s="3" t="s">
        <v>108</v>
      </c>
      <c r="D50" s="4" t="s">
        <v>93</v>
      </c>
      <c r="E50" s="5">
        <v>206.0</v>
      </c>
      <c r="F50" s="5">
        <v>220.0</v>
      </c>
      <c r="G50" s="5">
        <v>103.0</v>
      </c>
      <c r="H50" s="6">
        <v>3600000.0</v>
      </c>
      <c r="I50" s="7">
        <v>0.0</v>
      </c>
    </row>
    <row r="51">
      <c r="A51" s="2" t="s">
        <v>16</v>
      </c>
      <c r="B51" s="3" t="s">
        <v>109</v>
      </c>
      <c r="C51" s="16" t="s">
        <v>97</v>
      </c>
      <c r="D51" s="4" t="s">
        <v>93</v>
      </c>
      <c r="E51" s="5">
        <v>207.0</v>
      </c>
      <c r="F51" s="5">
        <v>250.0</v>
      </c>
      <c r="G51" s="5">
        <v>4.0</v>
      </c>
      <c r="H51" s="6">
        <v>3700000.0</v>
      </c>
      <c r="I51" s="7">
        <v>0.0</v>
      </c>
    </row>
    <row r="52">
      <c r="A52" s="2" t="s">
        <v>16</v>
      </c>
      <c r="B52" s="3" t="s">
        <v>110</v>
      </c>
      <c r="C52" s="3" t="s">
        <v>111</v>
      </c>
      <c r="D52" s="4" t="s">
        <v>93</v>
      </c>
      <c r="E52" s="5">
        <v>208.0</v>
      </c>
      <c r="F52" s="5">
        <v>45.0</v>
      </c>
      <c r="G52" s="5">
        <v>15.0</v>
      </c>
      <c r="H52" s="6">
        <v>1000000.0</v>
      </c>
      <c r="I52" s="7">
        <v>1500.0</v>
      </c>
    </row>
    <row r="53">
      <c r="A53" s="2" t="s">
        <v>16</v>
      </c>
      <c r="B53" s="3" t="s">
        <v>112</v>
      </c>
      <c r="C53" s="16" t="s">
        <v>113</v>
      </c>
      <c r="D53" s="4" t="s">
        <v>93</v>
      </c>
      <c r="E53" s="5">
        <v>209.0</v>
      </c>
      <c r="F53" s="5">
        <v>110.0</v>
      </c>
      <c r="G53" s="5">
        <v>12.0</v>
      </c>
      <c r="H53" s="6">
        <v>800000.0</v>
      </c>
      <c r="I53" s="7">
        <v>4000.0</v>
      </c>
    </row>
    <row r="54">
      <c r="A54" s="2" t="s">
        <v>19</v>
      </c>
      <c r="B54" s="3" t="s">
        <v>118</v>
      </c>
      <c r="C54" s="16" t="s">
        <v>95</v>
      </c>
      <c r="D54" s="4" t="s">
        <v>93</v>
      </c>
      <c r="E54" s="5">
        <v>311.0</v>
      </c>
      <c r="F54" s="5">
        <v>65.0</v>
      </c>
      <c r="G54" s="5">
        <v>10.0</v>
      </c>
      <c r="H54" s="6">
        <v>500000.0</v>
      </c>
      <c r="I54" s="7">
        <v>0.0</v>
      </c>
    </row>
    <row r="55">
      <c r="A55" s="2" t="s">
        <v>19</v>
      </c>
      <c r="B55" s="3" t="s">
        <v>117</v>
      </c>
      <c r="C55" s="16" t="s">
        <v>106</v>
      </c>
      <c r="D55" s="4" t="s">
        <v>93</v>
      </c>
      <c r="E55" s="5">
        <v>312.0</v>
      </c>
      <c r="F55" s="5">
        <v>90.0</v>
      </c>
      <c r="G55" s="5">
        <v>35.0</v>
      </c>
      <c r="H55" s="6">
        <v>2020000.0</v>
      </c>
      <c r="I55" s="7">
        <v>0.0</v>
      </c>
    </row>
    <row r="56">
      <c r="A56" s="2" t="s">
        <v>19</v>
      </c>
      <c r="B56" s="3" t="s">
        <v>116</v>
      </c>
      <c r="C56" s="16" t="s">
        <v>104</v>
      </c>
      <c r="D56" s="4" t="s">
        <v>93</v>
      </c>
      <c r="E56" s="5">
        <v>313.0</v>
      </c>
      <c r="F56" s="5">
        <v>120.0</v>
      </c>
      <c r="G56" s="5">
        <v>30.0</v>
      </c>
      <c r="H56" s="6">
        <v>1600000.0</v>
      </c>
      <c r="I56" s="7">
        <v>500.0</v>
      </c>
    </row>
    <row r="57">
      <c r="A57" s="2" t="s">
        <v>19</v>
      </c>
      <c r="B57" s="3" t="s">
        <v>114</v>
      </c>
      <c r="C57" s="3" t="s">
        <v>115</v>
      </c>
      <c r="D57" s="4" t="s">
        <v>93</v>
      </c>
      <c r="E57" s="5">
        <v>314.0</v>
      </c>
      <c r="F57" s="5">
        <v>190.0</v>
      </c>
      <c r="G57" s="5">
        <v>90.0</v>
      </c>
      <c r="H57" s="6">
        <v>2800000.0</v>
      </c>
      <c r="I57" s="7">
        <v>0.0</v>
      </c>
    </row>
    <row r="58">
      <c r="A58" s="2" t="s">
        <v>9</v>
      </c>
      <c r="B58" s="3" t="s">
        <v>119</v>
      </c>
      <c r="C58" s="3" t="s">
        <v>120</v>
      </c>
      <c r="D58" s="4" t="s">
        <v>121</v>
      </c>
      <c r="E58" s="5">
        <v>425.0</v>
      </c>
      <c r="F58" s="5">
        <v>180.0</v>
      </c>
      <c r="G58" s="5">
        <v>4.0</v>
      </c>
      <c r="H58" s="6">
        <v>1400000.0</v>
      </c>
      <c r="I58" s="7">
        <v>0.0</v>
      </c>
    </row>
    <row r="59">
      <c r="A59" s="2" t="s">
        <v>13</v>
      </c>
      <c r="B59" s="3" t="s">
        <v>122</v>
      </c>
      <c r="C59" s="3" t="s">
        <v>123</v>
      </c>
      <c r="D59" s="4" t="s">
        <v>121</v>
      </c>
      <c r="E59" s="5">
        <v>126.0</v>
      </c>
      <c r="F59" s="5">
        <v>100.0</v>
      </c>
      <c r="G59" s="5">
        <v>46.0</v>
      </c>
      <c r="H59" s="6">
        <v>900000.0</v>
      </c>
      <c r="I59" s="7">
        <v>0.0</v>
      </c>
    </row>
    <row r="60">
      <c r="A60" s="2" t="s">
        <v>16</v>
      </c>
      <c r="B60" s="3" t="s">
        <v>124</v>
      </c>
      <c r="C60" s="3" t="s">
        <v>125</v>
      </c>
      <c r="D60" s="4" t="s">
        <v>121</v>
      </c>
      <c r="E60" s="5">
        <v>213.0</v>
      </c>
      <c r="F60" s="5">
        <v>80.0</v>
      </c>
      <c r="G60" s="5">
        <v>21.0</v>
      </c>
      <c r="H60" s="6">
        <v>1800000.0</v>
      </c>
      <c r="I60" s="7">
        <v>50000.0</v>
      </c>
    </row>
    <row r="61">
      <c r="A61" s="2" t="s">
        <v>19</v>
      </c>
      <c r="B61" s="3" t="s">
        <v>126</v>
      </c>
      <c r="C61" s="3" t="s">
        <v>127</v>
      </c>
      <c r="D61" s="4" t="s">
        <v>121</v>
      </c>
      <c r="E61" s="5">
        <v>307.0</v>
      </c>
      <c r="F61" s="5">
        <v>45.0</v>
      </c>
      <c r="G61" s="5">
        <v>50.0</v>
      </c>
      <c r="H61" s="6">
        <v>1500000.0</v>
      </c>
      <c r="I61" s="7">
        <v>70000.0</v>
      </c>
    </row>
    <row r="62">
      <c r="A62" s="2" t="s">
        <v>9</v>
      </c>
      <c r="B62" s="3" t="s">
        <v>128</v>
      </c>
      <c r="C62" s="3" t="s">
        <v>129</v>
      </c>
      <c r="D62" s="4" t="s">
        <v>130</v>
      </c>
      <c r="E62" s="5">
        <v>423.0</v>
      </c>
      <c r="F62" s="5">
        <v>100.0</v>
      </c>
      <c r="G62" s="5">
        <v>20.0</v>
      </c>
      <c r="H62" s="6">
        <v>190000.0</v>
      </c>
      <c r="I62" s="7">
        <v>0.0</v>
      </c>
    </row>
    <row r="63">
      <c r="A63" s="2" t="s">
        <v>13</v>
      </c>
      <c r="B63" s="3" t="s">
        <v>131</v>
      </c>
      <c r="C63" s="3" t="s">
        <v>132</v>
      </c>
      <c r="D63" s="4" t="s">
        <v>130</v>
      </c>
      <c r="E63" s="5">
        <v>124.0</v>
      </c>
      <c r="F63" s="5">
        <v>90.0</v>
      </c>
      <c r="G63" s="5">
        <v>40.0</v>
      </c>
      <c r="H63" s="6">
        <v>300000.0</v>
      </c>
      <c r="I63" s="7">
        <v>0.0</v>
      </c>
    </row>
    <row r="64">
      <c r="A64" s="2" t="s">
        <v>16</v>
      </c>
      <c r="B64" s="3" t="s">
        <v>133</v>
      </c>
      <c r="C64" s="3" t="s">
        <v>134</v>
      </c>
      <c r="D64" s="4" t="s">
        <v>130</v>
      </c>
      <c r="E64" s="5">
        <v>212.0</v>
      </c>
      <c r="F64" s="5">
        <v>110.0</v>
      </c>
      <c r="G64" s="5">
        <v>45.0</v>
      </c>
      <c r="H64" s="6">
        <v>480000.0</v>
      </c>
      <c r="I64" s="7">
        <v>0.0</v>
      </c>
    </row>
    <row r="65">
      <c r="A65" s="2" t="s">
        <v>19</v>
      </c>
      <c r="B65" s="3" t="s">
        <v>135</v>
      </c>
      <c r="C65" s="3" t="s">
        <v>136</v>
      </c>
      <c r="D65" s="4" t="s">
        <v>130</v>
      </c>
      <c r="E65" s="5">
        <v>308.0</v>
      </c>
      <c r="F65" s="5">
        <v>80.0</v>
      </c>
      <c r="G65" s="5">
        <v>30.0</v>
      </c>
      <c r="H65" s="6">
        <v>290000.0</v>
      </c>
      <c r="I65" s="7">
        <v>0.0</v>
      </c>
    </row>
    <row r="66">
      <c r="A66" s="2" t="s">
        <v>9</v>
      </c>
      <c r="B66" s="3" t="s">
        <v>138</v>
      </c>
      <c r="C66" s="3" t="s">
        <v>139</v>
      </c>
      <c r="D66" s="4" t="s">
        <v>140</v>
      </c>
      <c r="E66" s="5">
        <v>427.0</v>
      </c>
      <c r="F66" s="5">
        <v>150.0</v>
      </c>
      <c r="G66" s="5">
        <v>85.0</v>
      </c>
      <c r="H66" s="6">
        <v>1300000.0</v>
      </c>
      <c r="I66" s="7">
        <v>10000.0</v>
      </c>
    </row>
    <row r="67">
      <c r="A67" s="2" t="s">
        <v>13</v>
      </c>
      <c r="B67" s="3" t="s">
        <v>141</v>
      </c>
      <c r="C67" s="3" t="s">
        <v>142</v>
      </c>
      <c r="D67" s="4" t="s">
        <v>140</v>
      </c>
      <c r="E67" s="5">
        <v>128.0</v>
      </c>
      <c r="F67" s="5">
        <v>140.0</v>
      </c>
      <c r="G67" s="5">
        <v>65.0</v>
      </c>
      <c r="H67" s="6">
        <v>1000000.0</v>
      </c>
      <c r="I67" s="7">
        <v>0.0</v>
      </c>
    </row>
    <row r="68">
      <c r="A68" s="2" t="s">
        <v>16</v>
      </c>
      <c r="B68" s="3" t="s">
        <v>143</v>
      </c>
      <c r="C68" s="3" t="s">
        <v>144</v>
      </c>
      <c r="D68" s="4" t="s">
        <v>140</v>
      </c>
      <c r="E68" s="5">
        <v>214.0</v>
      </c>
      <c r="F68" s="5">
        <v>160.0</v>
      </c>
      <c r="G68" s="5">
        <v>61.0</v>
      </c>
      <c r="H68" s="6">
        <v>1650000.0</v>
      </c>
      <c r="I68" s="7">
        <v>50000.0</v>
      </c>
    </row>
    <row r="69">
      <c r="A69" s="2" t="s">
        <v>19</v>
      </c>
      <c r="B69" s="3" t="s">
        <v>181</v>
      </c>
      <c r="C69" s="3" t="s">
        <v>139</v>
      </c>
      <c r="D69" s="4" t="s">
        <v>140</v>
      </c>
      <c r="E69" s="5">
        <v>322.0</v>
      </c>
      <c r="F69" s="18">
        <v>75.0</v>
      </c>
      <c r="G69" s="18">
        <v>44.0</v>
      </c>
      <c r="H69" s="19">
        <v>650000.0</v>
      </c>
      <c r="I69" s="20">
        <v>0.0</v>
      </c>
    </row>
    <row r="70">
      <c r="A70" s="2" t="s">
        <v>19</v>
      </c>
      <c r="B70" s="3" t="s">
        <v>145</v>
      </c>
      <c r="C70" s="3" t="s">
        <v>146</v>
      </c>
      <c r="D70" s="4" t="s">
        <v>140</v>
      </c>
      <c r="E70" s="5">
        <v>306.0</v>
      </c>
      <c r="F70" s="5">
        <v>130.0</v>
      </c>
      <c r="G70" s="5">
        <v>65.0</v>
      </c>
      <c r="H70" s="6">
        <v>1200000.0</v>
      </c>
      <c r="I70" s="7">
        <v>40000.0</v>
      </c>
    </row>
    <row r="71">
      <c r="A71" s="2" t="s">
        <v>19</v>
      </c>
      <c r="B71" s="3" t="s">
        <v>180</v>
      </c>
      <c r="C71" s="3" t="s">
        <v>179</v>
      </c>
      <c r="D71" s="4" t="s">
        <v>140</v>
      </c>
      <c r="E71" s="5">
        <v>321.0</v>
      </c>
      <c r="F71" s="18">
        <v>50.0</v>
      </c>
      <c r="G71" s="18">
        <v>29.0</v>
      </c>
      <c r="H71" s="19">
        <v>75000.0</v>
      </c>
      <c r="I71" s="20">
        <v>0.0</v>
      </c>
    </row>
    <row r="72">
      <c r="A72" s="2" t="s">
        <v>9</v>
      </c>
      <c r="B72" s="3" t="s">
        <v>147</v>
      </c>
      <c r="C72" s="3" t="s">
        <v>148</v>
      </c>
      <c r="D72" s="4" t="s">
        <v>149</v>
      </c>
      <c r="E72" s="5">
        <v>429.0</v>
      </c>
      <c r="F72" s="5">
        <v>120.0</v>
      </c>
      <c r="G72" s="5">
        <v>45.0</v>
      </c>
      <c r="H72" s="6">
        <v>1.2E7</v>
      </c>
      <c r="I72" s="7">
        <v>0.0</v>
      </c>
    </row>
    <row r="73">
      <c r="A73" s="2" t="s">
        <v>13</v>
      </c>
      <c r="B73" s="3" t="s">
        <v>150</v>
      </c>
      <c r="C73" s="3" t="s">
        <v>151</v>
      </c>
      <c r="D73" s="4" t="s">
        <v>149</v>
      </c>
      <c r="E73" s="5">
        <v>130.0</v>
      </c>
      <c r="F73" s="5">
        <v>110.0</v>
      </c>
      <c r="G73" s="5">
        <v>46.0</v>
      </c>
      <c r="H73" s="6">
        <v>1080000.0</v>
      </c>
      <c r="I73" s="7">
        <v>0.0</v>
      </c>
    </row>
    <row r="74">
      <c r="A74" s="2" t="s">
        <v>16</v>
      </c>
      <c r="B74" s="3" t="s">
        <v>152</v>
      </c>
      <c r="C74" s="3" t="s">
        <v>153</v>
      </c>
      <c r="D74" s="4" t="s">
        <v>149</v>
      </c>
      <c r="E74" s="5">
        <v>215.0</v>
      </c>
      <c r="F74" s="5">
        <v>130.0</v>
      </c>
      <c r="G74" s="5">
        <v>60.0</v>
      </c>
      <c r="H74" s="6">
        <v>1405000.0</v>
      </c>
      <c r="I74" s="7">
        <v>0.0</v>
      </c>
    </row>
    <row r="75">
      <c r="A75" s="2" t="s">
        <v>19</v>
      </c>
      <c r="B75" s="3" t="s">
        <v>154</v>
      </c>
      <c r="C75" s="3" t="s">
        <v>155</v>
      </c>
      <c r="D75" s="4" t="s">
        <v>149</v>
      </c>
      <c r="E75" s="5">
        <v>305.0</v>
      </c>
      <c r="F75" s="5">
        <v>100.0</v>
      </c>
      <c r="G75" s="5">
        <v>40.0</v>
      </c>
      <c r="H75" s="6">
        <v>900000.0</v>
      </c>
      <c r="I75" s="7">
        <v>0.0</v>
      </c>
    </row>
    <row r="76">
      <c r="A76" s="2" t="s">
        <v>9</v>
      </c>
      <c r="B76" s="3" t="s">
        <v>156</v>
      </c>
      <c r="C76" s="3" t="s">
        <v>157</v>
      </c>
      <c r="D76" s="4" t="s">
        <v>158</v>
      </c>
      <c r="E76" s="5">
        <v>421.0</v>
      </c>
      <c r="F76" s="5">
        <v>80.0</v>
      </c>
      <c r="G76" s="5">
        <v>41.0</v>
      </c>
      <c r="H76" s="6">
        <v>560000.0</v>
      </c>
      <c r="I76" s="7">
        <v>0.0</v>
      </c>
    </row>
    <row r="77">
      <c r="A77" s="2" t="s">
        <v>13</v>
      </c>
      <c r="B77" s="3" t="s">
        <v>159</v>
      </c>
      <c r="C77" s="3" t="s">
        <v>160</v>
      </c>
      <c r="D77" s="4" t="s">
        <v>158</v>
      </c>
      <c r="E77" s="5">
        <v>122.0</v>
      </c>
      <c r="F77" s="5">
        <v>70.0</v>
      </c>
      <c r="G77" s="5">
        <v>35.0</v>
      </c>
      <c r="H77" s="6">
        <v>360000.0</v>
      </c>
      <c r="I77" s="7">
        <v>0.0</v>
      </c>
    </row>
    <row r="78">
      <c r="A78" s="2" t="s">
        <v>16</v>
      </c>
      <c r="B78" s="3" t="s">
        <v>161</v>
      </c>
      <c r="C78" s="3" t="s">
        <v>162</v>
      </c>
      <c r="D78" s="4" t="s">
        <v>158</v>
      </c>
      <c r="E78" s="5">
        <v>211.0</v>
      </c>
      <c r="F78" s="5">
        <v>90.0</v>
      </c>
      <c r="G78" s="5">
        <v>40.0</v>
      </c>
      <c r="H78" s="6">
        <v>450000.0</v>
      </c>
      <c r="I78" s="7">
        <v>0.0</v>
      </c>
    </row>
    <row r="79">
      <c r="A79" s="2" t="s">
        <v>19</v>
      </c>
      <c r="B79" s="3" t="s">
        <v>163</v>
      </c>
      <c r="C79" s="3" t="s">
        <v>164</v>
      </c>
      <c r="D79" s="4" t="s">
        <v>158</v>
      </c>
      <c r="E79" s="5">
        <v>309.0</v>
      </c>
      <c r="F79" s="18">
        <v>60.0</v>
      </c>
      <c r="G79" s="18">
        <v>15.0</v>
      </c>
      <c r="H79" s="19">
        <v>70000.0</v>
      </c>
      <c r="I79" s="20">
        <v>0.0</v>
      </c>
    </row>
    <row r="80">
      <c r="A80" s="21" t="s">
        <v>19</v>
      </c>
      <c r="B80" s="22" t="s">
        <v>182</v>
      </c>
      <c r="C80" s="22" t="s">
        <v>183</v>
      </c>
      <c r="D80" s="23" t="s">
        <v>158</v>
      </c>
      <c r="E80" s="24">
        <v>320.0</v>
      </c>
      <c r="F80" s="25">
        <v>360.0</v>
      </c>
      <c r="G80" s="25">
        <v>200.0</v>
      </c>
      <c r="H80" s="26">
        <v>1600000.0</v>
      </c>
      <c r="I80" s="27">
        <v>0.0</v>
      </c>
    </row>
    <row r="81">
      <c r="A81" s="28"/>
      <c r="B81" s="28"/>
      <c r="C81" s="28"/>
      <c r="D81" s="28"/>
      <c r="E81" s="28"/>
      <c r="F81" s="29"/>
      <c r="G81" s="29"/>
      <c r="H81" s="28"/>
      <c r="I81" s="28"/>
      <c r="J81" s="28"/>
      <c r="K81" s="28"/>
      <c r="L81" s="28"/>
      <c r="M81" s="28"/>
    </row>
    <row r="82">
      <c r="A82" s="28"/>
      <c r="B82" s="28"/>
      <c r="C82" s="28"/>
      <c r="D82" s="28"/>
      <c r="E82" s="28"/>
      <c r="F82" s="29"/>
      <c r="G82" s="29"/>
      <c r="H82" s="28"/>
      <c r="I82" s="30"/>
      <c r="J82" s="30"/>
      <c r="K82" s="30"/>
      <c r="L82" s="30"/>
      <c r="M82" s="30"/>
    </row>
    <row r="83">
      <c r="A83" s="28"/>
      <c r="B83" s="28"/>
      <c r="C83" s="28"/>
      <c r="D83" s="28"/>
      <c r="E83" s="28"/>
      <c r="F83" s="29"/>
      <c r="G83" s="29"/>
      <c r="H83" s="28"/>
      <c r="I83" s="30"/>
      <c r="J83" s="30"/>
      <c r="K83" s="30"/>
      <c r="L83" s="30"/>
      <c r="M83" s="30"/>
    </row>
    <row r="84">
      <c r="A84" s="31"/>
      <c r="B84" s="31"/>
      <c r="C84" s="31"/>
      <c r="D84" s="28"/>
      <c r="E84" s="31"/>
      <c r="F84" s="28"/>
      <c r="G84" s="32"/>
      <c r="H84" s="28"/>
      <c r="I84" s="28"/>
      <c r="J84" s="28"/>
      <c r="K84" s="28"/>
      <c r="L84" s="28"/>
      <c r="M84" s="28"/>
    </row>
    <row r="85">
      <c r="A85" s="31"/>
      <c r="B85" s="31"/>
      <c r="C85" s="31"/>
      <c r="D85" s="28"/>
      <c r="E85" s="31"/>
      <c r="F85" s="28"/>
      <c r="G85" s="32"/>
      <c r="H85" s="28"/>
      <c r="I85" s="28"/>
      <c r="J85" s="28"/>
      <c r="K85" s="28"/>
      <c r="L85" s="28"/>
      <c r="M85" s="28"/>
    </row>
    <row r="86">
      <c r="A86" s="31"/>
      <c r="B86" s="31"/>
      <c r="C86" s="31"/>
      <c r="D86" s="28"/>
      <c r="E86" s="31"/>
      <c r="F86" s="28"/>
      <c r="G86" s="32"/>
      <c r="H86" s="28"/>
      <c r="I86" s="28"/>
      <c r="J86" s="28"/>
      <c r="K86" s="28"/>
      <c r="L86" s="28"/>
      <c r="M86" s="28"/>
    </row>
    <row r="87">
      <c r="A87" s="31"/>
      <c r="B87" s="31"/>
      <c r="C87" s="31"/>
      <c r="D87" s="33"/>
      <c r="E87" s="34"/>
      <c r="F87" s="28"/>
      <c r="G87" s="32"/>
      <c r="H87" s="28"/>
      <c r="I87" s="28"/>
      <c r="J87" s="28"/>
      <c r="K87" s="28"/>
      <c r="L87" s="28"/>
      <c r="M87" s="28"/>
    </row>
    <row r="88">
      <c r="A88" s="31"/>
      <c r="B88" s="31"/>
      <c r="C88" s="31"/>
      <c r="D88" s="28"/>
      <c r="E88" s="31"/>
      <c r="F88" s="28"/>
      <c r="G88" s="32"/>
      <c r="H88" s="28"/>
      <c r="I88" s="28"/>
      <c r="J88" s="28"/>
      <c r="K88" s="28"/>
      <c r="L88" s="28"/>
      <c r="M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</row>
    <row r="90">
      <c r="A90" s="35" t="s">
        <v>0</v>
      </c>
      <c r="B90" s="36" t="s">
        <v>165</v>
      </c>
      <c r="C90" s="36" t="s">
        <v>166</v>
      </c>
      <c r="D90" s="35" t="s">
        <v>167</v>
      </c>
      <c r="E90" s="37" t="s">
        <v>168</v>
      </c>
      <c r="F90" s="36" t="s">
        <v>169</v>
      </c>
      <c r="G90" s="36" t="s">
        <v>170</v>
      </c>
      <c r="H90" s="36" t="s">
        <v>171</v>
      </c>
      <c r="I90" s="36" t="s">
        <v>172</v>
      </c>
    </row>
    <row r="91">
      <c r="A91" s="65" t="s">
        <v>19</v>
      </c>
      <c r="B91" s="39">
        <f>SUMIF(Июнь_2025[[#ALL],[Филиал ТЦ]],A91,Июнь_2025[[#ALL],[Площадь (м²)]])</f>
        <v>2330</v>
      </c>
      <c r="C91" s="39">
        <f>SUMIFS(Июнь_2025[[#ALL],[Площадь (м²)]],Июнь_2025[[#ALL],[Филиал ТЦ]],A91,Июнь_2025[[#ALL],[Категория]],"&lt;&gt;Пустой")</f>
        <v>2330</v>
      </c>
      <c r="D91" s="40">
        <f>COUNTIFS(Июнь_2025[[#ALL],[Филиал ТЦ]],A91,Июнь_2025[[#ALL],[Номер помещения]],"&lt;&gt;")</f>
        <v>23</v>
      </c>
      <c r="E91" s="40">
        <f>COUNTIFS(Июнь_2025[[#ALL],[Филиал ТЦ]],A91,Июнь_2025[[#ALL],[ID арендатора]],"&lt;&gt;")</f>
        <v>23</v>
      </c>
      <c r="F91" s="41">
        <f>SUMIF(Июнь_2025[[#ALL],[Филиал ТЦ]],A91,Июнь_2025[[#ALL],[Продажи/мес]])</f>
        <v>848</v>
      </c>
      <c r="G91" s="42">
        <f>SUMIF(Июнь_2025[[#ALL],[Филиал ТЦ]],A91,Июнь_2025[[#ALL],[Выручка (руб/мес)]])</f>
        <v>29524000</v>
      </c>
      <c r="H91" s="42">
        <f>SUMIF(Июнь_2025[[#ALL],[Филиал ТЦ]],A91,Июнь_2025[[#ALL],[Долг по аренде (руб)]])</f>
        <v>242400</v>
      </c>
      <c r="I91" s="43">
        <f t="shared" ref="I91:I94" si="1">G91/C91</f>
        <v>12671.24464</v>
      </c>
    </row>
    <row r="92">
      <c r="A92" s="65" t="s">
        <v>9</v>
      </c>
      <c r="B92" s="39">
        <f>SUMIF(Июнь_2025[[#ALL],[Филиал ТЦ]],A92,Июнь_2025[[#ALL],[Площадь (м²)]])</f>
        <v>2176</v>
      </c>
      <c r="C92" s="39">
        <f>SUMIFS(Июнь_2025[[#ALL],[Площадь (м²)]],Июнь_2025[[#ALL],[Филиал ТЦ]],A92,Июнь_2025[[#ALL],[Категория]],"&lt;&gt;Пустой")</f>
        <v>2176</v>
      </c>
      <c r="D92" s="40">
        <f>COUNTIFS(Июнь_2025[[#ALL],[Филиал ТЦ]],A92,Июнь_2025[[#ALL],[Номер помещения]],"&lt;&gt;")</f>
        <v>18</v>
      </c>
      <c r="E92" s="40">
        <f>COUNTIFS(Июнь_2025[[#ALL],[Филиал ТЦ]],A92,Июнь_2025[[#ALL],[ID арендатора]],"&lt;&gt;")</f>
        <v>18</v>
      </c>
      <c r="F92" s="41">
        <f>SUMIF(Июнь_2025[[#ALL],[Филиал ТЦ]],A92,Июнь_2025[[#ALL],[Продажи/мес]])</f>
        <v>570</v>
      </c>
      <c r="G92" s="42">
        <f>SUMIF(Июнь_2025[[#ALL],[Филиал ТЦ]],A92,Июнь_2025[[#ALL],[Выручка (руб/мес)]])</f>
        <v>38683500</v>
      </c>
      <c r="H92" s="42">
        <f>SUMIF(Июнь_2025[[#ALL],[Филиал ТЦ]],A92,Июнь_2025[[#ALL],[Долг по аренде (руб)]])</f>
        <v>204670</v>
      </c>
      <c r="I92" s="43">
        <f t="shared" si="1"/>
        <v>17777.34375</v>
      </c>
    </row>
    <row r="93">
      <c r="A93" s="65" t="s">
        <v>13</v>
      </c>
      <c r="B93" s="39">
        <f>SUMIF(Июнь_2025[[#ALL],[Филиал ТЦ]],A93,Июнь_2025[[#ALL],[Площадь (м²)]])</f>
        <v>1855</v>
      </c>
      <c r="C93" s="39">
        <f>SUMIFS(Июнь_2025[[#ALL],[Площадь (м²)]],Июнь_2025[[#ALL],[Филиал ТЦ]],A93,Июнь_2025[[#ALL],[Категория]],"&lt;&gt;Пустой")</f>
        <v>1855</v>
      </c>
      <c r="D93" s="40">
        <f>COUNTIFS(Июнь_2025[[#ALL],[Филиал ТЦ]],A93,Июнь_2025[[#ALL],[Номер помещения]],"&lt;&gt;")</f>
        <v>18</v>
      </c>
      <c r="E93" s="40">
        <f>COUNTIFS(Июнь_2025[[#ALL],[Филиал ТЦ]],A93,Июнь_2025[[#ALL],[ID арендатора]],"&lt;&gt;")</f>
        <v>18</v>
      </c>
      <c r="F93" s="41">
        <f>SUMIF(Июнь_2025[[#ALL],[Филиал ТЦ]],A93,Июнь_2025[[#ALL],[Продажи/мес]])</f>
        <v>506</v>
      </c>
      <c r="G93" s="42">
        <f>SUMIF(Июнь_2025[[#ALL],[Филиал ТЦ]],A93,Июнь_2025[[#ALL],[Выручка (руб/мес)]])</f>
        <v>21960000</v>
      </c>
      <c r="H93" s="42">
        <f>SUMIF(Июнь_2025[[#ALL],[Филиал ТЦ]],A93,Июнь_2025[[#ALL],[Долг по аренде (руб)]])</f>
        <v>176300</v>
      </c>
      <c r="I93" s="43">
        <f t="shared" si="1"/>
        <v>11838.27493</v>
      </c>
    </row>
    <row r="94">
      <c r="A94" s="66" t="s">
        <v>16</v>
      </c>
      <c r="B94" s="45">
        <f>SUMIF(Июнь_2025[[#ALL],[Филиал ТЦ]],A94,Июнь_2025[[#ALL],[Площадь (м²)]])</f>
        <v>3112</v>
      </c>
      <c r="C94" s="45">
        <f>SUMIFS(Июнь_2025[[#ALL],[Площадь (м²)]],Июнь_2025[[#ALL],[Филиал ТЦ]],A94,Июнь_2025[[#ALL],[Категория]],"&lt;&gt;Пустой")</f>
        <v>3112</v>
      </c>
      <c r="D94" s="46">
        <f>COUNTIFS(Июнь_2025[[#ALL],[Филиал ТЦ]],A94,Июнь_2025[[#ALL],[Номер помещения]],"&lt;&gt;")</f>
        <v>20</v>
      </c>
      <c r="E94" s="46">
        <f>COUNTIFS(Июнь_2025[[#ALL],[Филиал ТЦ]],A94,Июнь_2025[[#ALL],[ID арендатора]],"&lt;&gt;")</f>
        <v>20</v>
      </c>
      <c r="F94" s="47">
        <f>SUMIF(Июнь_2025[[#ALL],[Филиал ТЦ]],A94,Июнь_2025[[#ALL],[Продажи/мес]])</f>
        <v>696</v>
      </c>
      <c r="G94" s="48">
        <f>SUMIF(Июнь_2025[[#ALL],[Филиал ТЦ]],A94,Июнь_2025[[#ALL],[Выручка (руб/мес)]])</f>
        <v>47035000</v>
      </c>
      <c r="H94" s="48">
        <f>SUMIF(Июнь_2025[[#ALL],[Филиал ТЦ]],A94,Июнь_2025[[#ALL],[Долг по аренде (руб)]])</f>
        <v>243960</v>
      </c>
      <c r="I94" s="49">
        <f t="shared" si="1"/>
        <v>15114.07455</v>
      </c>
    </row>
    <row r="95">
      <c r="A95" s="31"/>
      <c r="B95" s="31"/>
      <c r="C95" s="31"/>
      <c r="D95" s="28"/>
      <c r="E95" s="31"/>
      <c r="F95" s="28"/>
      <c r="G95" s="32"/>
      <c r="H95" s="28"/>
      <c r="I95" s="28"/>
      <c r="J95" s="28"/>
      <c r="K95" s="28"/>
      <c r="L95" s="28"/>
      <c r="M95" s="28"/>
    </row>
    <row r="96">
      <c r="A96" s="31"/>
      <c r="B96" s="31"/>
      <c r="C96" s="31"/>
      <c r="D96" s="28"/>
      <c r="E96" s="31"/>
      <c r="F96" s="28"/>
      <c r="G96" s="32"/>
      <c r="H96" s="28"/>
      <c r="I96" s="28"/>
      <c r="J96" s="28"/>
      <c r="K96" s="28"/>
      <c r="L96" s="28"/>
      <c r="M96" s="28"/>
    </row>
    <row r="97">
      <c r="A97" s="31"/>
      <c r="B97" s="31"/>
      <c r="C97" s="31"/>
      <c r="D97" s="28"/>
      <c r="E97" s="31"/>
      <c r="F97" s="28"/>
      <c r="G97" s="32"/>
      <c r="H97" s="28"/>
      <c r="I97" s="28"/>
      <c r="J97" s="28"/>
      <c r="K97" s="28"/>
      <c r="L97" s="28"/>
      <c r="M97" s="28"/>
    </row>
    <row r="98" ht="17.25" customHeight="1">
      <c r="A98" s="50"/>
      <c r="B98" s="51" t="s">
        <v>16</v>
      </c>
      <c r="E98" s="51" t="s">
        <v>9</v>
      </c>
      <c r="H98" s="51" t="s">
        <v>13</v>
      </c>
      <c r="K98" s="51" t="s">
        <v>19</v>
      </c>
    </row>
    <row r="99" ht="17.25" customHeight="1">
      <c r="A99" s="52"/>
      <c r="B99" s="53" t="s">
        <v>173</v>
      </c>
      <c r="C99" s="53" t="s">
        <v>174</v>
      </c>
      <c r="D99" s="54" t="s">
        <v>175</v>
      </c>
      <c r="E99" s="53" t="s">
        <v>176</v>
      </c>
      <c r="F99" s="53" t="s">
        <v>177</v>
      </c>
      <c r="G99" s="54" t="s">
        <v>175</v>
      </c>
      <c r="H99" s="55" t="s">
        <v>176</v>
      </c>
      <c r="I99" s="55" t="s">
        <v>177</v>
      </c>
      <c r="J99" s="56" t="s">
        <v>175</v>
      </c>
      <c r="K99" s="55" t="s">
        <v>176</v>
      </c>
      <c r="L99" s="55" t="s">
        <v>177</v>
      </c>
      <c r="M99" s="56" t="s">
        <v>175</v>
      </c>
    </row>
    <row r="100" ht="17.25" customHeight="1">
      <c r="A100" s="57" t="s">
        <v>65</v>
      </c>
      <c r="B100" s="58">
        <f>SUMIFS(Июнь_2025[[#ALL],[Площадь (м²)]],Июнь_2025[[#ALL],[Филиал ТЦ]],B$98,Июнь_2025[[#ALL],[Категория]],$A100)/SUMIFS(Июнь_2025[[#ALL],[Площадь (м²)]],Июнь_2025[[#ALL],[Филиал ТЦ]],B$98)</f>
        <v>0.1446015424</v>
      </c>
      <c r="C100" s="59">
        <f>IF(B100&gt;0, SUMIFS(Июнь_2025[[#ALL],[Выручка (руб/мес)]],Июнь_2025[[#ALL],[Филиал ТЦ]],B$98,Июнь_2025[[#ALL],[Категория]],$A100)/SUMIFS(Июнь_2025[[#ALL],[Продажи/мес]],Июнь_2025[[#ALL],[Филиал ТЦ]],B$98,Июнь_2025[[#ALL],[Категория]],$A100), "нет категории")</f>
        <v>430000</v>
      </c>
      <c r="D100" s="60">
        <f>IF(B100&gt;0, SUMIFS(Июнь_2025[[#ALL],[Выручка (руб/мес)]],Июнь_2025[[#ALL],[Филиал ТЦ]],B$98,Июнь_2025[[#ALL],[Категория]],$A100)/SUMIFS(Июнь_2025[[#ALL],[Площадь (м²)]],Июнь_2025[[#ALL],[Филиал ТЦ]],B$98,Июнь_2025[[#ALL],[Категория]],$A100), "нет категории")</f>
        <v>33444.44444</v>
      </c>
      <c r="E100" s="58">
        <f>SUMIFS(Июнь_2025[[#ALL],[Площадь (м²)]],Июнь_2025[[#ALL],[Филиал ТЦ]],E$98,Июнь_2025[[#ALL],[Категория]],$A100)/SUMIFS(Июнь_2025[[#ALL],[Площадь (м²)]],Июнь_2025[[#ALL],[Филиал ТЦ]],E$98)</f>
        <v>0.1659007353</v>
      </c>
      <c r="F100" s="59">
        <f>IF(E100&gt;0, SUMIFS(Июнь_2025[[#ALL],[Выручка (руб/мес)]],Июнь_2025[[#ALL],[Филиал ТЦ]],E$98,Июнь_2025[[#ALL],[Категория]],$A100)/SUMIFS(Июнь_2025[[#ALL],[Продажи/мес]],Июнь_2025[[#ALL],[Филиал ТЦ]],E$98,Июнь_2025[[#ALL],[Категория]],$A100), "нет категории")</f>
        <v>156828.125</v>
      </c>
      <c r="G100" s="60">
        <f>IF(E100&gt;0,SUMIFS(Июнь_2025[[#ALL],[Выручка (руб/мес)]],Июнь_2025[[#ALL],[Филиал ТЦ]],E$98,Июнь_2025[[#ALL],[Категория]],$A100)/SUMIFS(Июнь_2025[[#ALL],[Площадь (м²)]],Июнь_2025[[#ALL],[Филиал ТЦ]],E$98,Июнь_2025[[#ALL],[Категория]],$A100), "нет категории")</f>
        <v>13901.66205</v>
      </c>
      <c r="H100" s="58">
        <f>SUMIFS(Июнь_2025[[#ALL],[Площадь (м²)]],Июнь_2025[[#ALL],[Филиал ТЦ]],H$98,Июнь_2025[[#ALL],[Категория]],$A100)/SUMIFS(Июнь_2025[[#ALL],[Площадь (м²)]],Июнь_2025[[#ALL],[Филиал ТЦ]],H$98)</f>
        <v>0.1725067385</v>
      </c>
      <c r="I100" s="59">
        <f>IF(H100&gt;0, SUMIFS(Июнь_2025[[#ALL],[Выручка (руб/мес)]],Июнь_2025[[#ALL],[Филиал ТЦ]],H$98,Июнь_2025[[#ALL],[Категория]],$A100)/SUMIFS(Июнь_2025[[#ALL],[Продажи/мес]],Июнь_2025[[#ALL],[Филиал ТЦ]],H$98,Июнь_2025[[#ALL],[Категория]],$A100), "нет категории")</f>
        <v>175483.871</v>
      </c>
      <c r="J100" s="60">
        <f>IF(H100&gt;0, SUMIFS(Июнь_2025[[#ALL],[Выручка (руб/мес)]],Июнь_2025[[#ALL],[Филиал ТЦ]],H$98,Июнь_2025[[#ALL],[Категория]],$A100)/SUMIFS(Июнь_2025[[#ALL],[Площадь (м²)]],Июнь_2025[[#ALL],[Филиал ТЦ]],H$98,Июнь_2025[[#ALL],[Категория]],$A100), "нет категории")</f>
        <v>17000</v>
      </c>
      <c r="K100" s="58">
        <f>SUMIFS(Июнь_2025[[#ALL],[Площадь (м²)]],Июнь_2025[[#ALL],[Филиал ТЦ]],K$98,Июнь_2025[[#ALL],[Категория]],$A100)/SUMIFS(Июнь_2025[[#ALL],[Площадь (м²)]],Июнь_2025[[#ALL],[Филиал ТЦ]],K$98)</f>
        <v>0.1459227468</v>
      </c>
      <c r="L100" s="59">
        <f>IF(K100&gt;0, SUMIFS(Июнь_2025[[#ALL],[Выручка (руб/мес)]],Июнь_2025[[#ALL],[Филиал ТЦ]],K$98,Июнь_2025[[#ALL],[Категория]],$A100)/SUMIFS(Июнь_2025[[#ALL],[Продажи/мес]],Июнь_2025[[#ALL],[Филиал ТЦ]],K$98,Июнь_2025[[#ALL],[Категория]],$A100), "нет категории")</f>
        <v>191489.3617</v>
      </c>
      <c r="M100" s="60">
        <f>IF(K100&gt;0, SUMIFS(Июнь_2025[[#ALL],[Выручка (руб/мес)]],Июнь_2025[[#ALL],[Филиал ТЦ]],K$98,Июнь_2025[[#ALL],[Категория]],$A100)/SUMIFS(Июнь_2025[[#ALL],[Площадь (м²)]],Июнь_2025[[#ALL],[Филиал ТЦ]],K$98,Июнь_2025[[#ALL],[Категория]],$A100), "нет категории")</f>
        <v>26470.58824</v>
      </c>
    </row>
    <row r="101" ht="17.25" customHeight="1">
      <c r="A101" s="61" t="s">
        <v>93</v>
      </c>
      <c r="B101" s="62">
        <f>SUMIFS(Июнь_2025[[#ALL],[Площадь (м²)]],Июнь_2025[[#ALL],[Филиал ТЦ]],B$98,Июнь_2025[[#ALL],[Категория]],$A101)/SUMIFS(Июнь_2025[[#ALL],[Площадь (м²)]],Июнь_2025[[#ALL],[Филиал ТЦ]],B$98)</f>
        <v>0.2008354756</v>
      </c>
      <c r="C101" s="63">
        <f>IF(B101&gt;0, SUMIFS(Июнь_2025[[#ALL],[Выручка (руб/мес)]],Июнь_2025[[#ALL],[Филиал ТЦ]],B$98,Июнь_2025[[#ALL],[Категория]],$A101)/SUMIFS(Июнь_2025[[#ALL],[Продажи/мес]],Июнь_2025[[#ALL],[Филиал ТЦ]],B$98,Июнь_2025[[#ALL],[Категория]],$A101), "нет категории")</f>
        <v>67910.44776</v>
      </c>
      <c r="D101" s="64">
        <f>IF(B101&gt;0, SUMIFS(Июнь_2025[[#ALL],[Выручка (руб/мес)]],Июнь_2025[[#ALL],[Филиал ТЦ]],B$98,Июнь_2025[[#ALL],[Категория]],$A101)/SUMIFS(Июнь_2025[[#ALL],[Площадь (м²)]],Июнь_2025[[#ALL],[Филиал ТЦ]],B$98,Июнь_2025[[#ALL],[Категория]],$A101), "нет категории")</f>
        <v>14560</v>
      </c>
      <c r="E101" s="62">
        <f>SUMIFS(Июнь_2025[[#ALL],[Площадь (м²)]],Июнь_2025[[#ALL],[Филиал ТЦ]],E$98,Июнь_2025[[#ALL],[Категория]],$A101)/SUMIFS(Июнь_2025[[#ALL],[Площадь (м²)]],Июнь_2025[[#ALL],[Филиал ТЦ]],E$98)</f>
        <v>0.1930147059</v>
      </c>
      <c r="F101" s="63">
        <f>IF(E101&gt;0, SUMIFS(Июнь_2025[[#ALL],[Выручка (руб/мес)]],Июнь_2025[[#ALL],[Филиал ТЦ]],E$98,Июнь_2025[[#ALL],[Категория]],$A101)/SUMIFS(Июнь_2025[[#ALL],[Продажи/мес]],Июнь_2025[[#ALL],[Филиал ТЦ]],E$98,Июнь_2025[[#ALL],[Категория]],$A101), "нет категории")</f>
        <v>83467.74194</v>
      </c>
      <c r="G101" s="64">
        <f>IF(E101&gt;0,SUMIFS(Июнь_2025[[#ALL],[Выручка (руб/мес)]],Июнь_2025[[#ALL],[Филиал ТЦ]],E$98,Июнь_2025[[#ALL],[Категория]],$A101)/SUMIFS(Июнь_2025[[#ALL],[Площадь (м²)]],Июнь_2025[[#ALL],[Филиал ТЦ]],E$98,Июнь_2025[[#ALL],[Категория]],$A101), "нет категории")</f>
        <v>24642.85714</v>
      </c>
      <c r="H101" s="62">
        <f>SUMIFS(Июнь_2025[[#ALL],[Площадь (м²)]],Июнь_2025[[#ALL],[Филиал ТЦ]],H$98,Июнь_2025[[#ALL],[Категория]],$A101)/SUMIFS(Июнь_2025[[#ALL],[Площадь (м²)]],Июнь_2025[[#ALL],[Филиал ТЦ]],H$98)</f>
        <v>0.269541779</v>
      </c>
      <c r="I101" s="63">
        <f>IF(H101&gt;0, SUMIFS(Июнь_2025[[#ALL],[Выручка (руб/мес)]],Июнь_2025[[#ALL],[Филиал ТЦ]],H$98,Июнь_2025[[#ALL],[Категория]],$A101)/SUMIFS(Июнь_2025[[#ALL],[Продажи/мес]],Июнь_2025[[#ALL],[Филиал ТЦ]],H$98,Июнь_2025[[#ALL],[Категория]],$A101), "нет категории")</f>
        <v>55757.57576</v>
      </c>
      <c r="J101" s="64">
        <f>IF(H101&gt;0, SUMIFS(Июнь_2025[[#ALL],[Выручка (руб/мес)]],Июнь_2025[[#ALL],[Филиал ТЦ]],H$98,Июнь_2025[[#ALL],[Категория]],$A101)/SUMIFS(Июнь_2025[[#ALL],[Площадь (м²)]],Июнь_2025[[#ALL],[Филиал ТЦ]],H$98,Июнь_2025[[#ALL],[Категория]],$A101), "нет категории")</f>
        <v>14720</v>
      </c>
      <c r="K101" s="62">
        <f>SUMIFS(Июнь_2025[[#ALL],[Площадь (м²)]],Июнь_2025[[#ALL],[Филиал ТЦ]],K$98,Июнь_2025[[#ALL],[Категория]],$A101)/SUMIFS(Июнь_2025[[#ALL],[Площадь (м²)]],Июнь_2025[[#ALL],[Филиал ТЦ]],K$98)</f>
        <v>0.1995708155</v>
      </c>
      <c r="L101" s="63">
        <f>IF(K101&gt;0, SUMIFS(Июнь_2025[[#ALL],[Выручка (руб/мес)]],Июнь_2025[[#ALL],[Филиал ТЦ]],K$98,Июнь_2025[[#ALL],[Категория]],$A101)/SUMIFS(Июнь_2025[[#ALL],[Продажи/мес]],Июнь_2025[[#ALL],[Филиал ТЦ]],K$98,Июнь_2025[[#ALL],[Категория]],$A101), "нет категории")</f>
        <v>41939.39394</v>
      </c>
      <c r="M101" s="64">
        <f>IF(K101&gt;0, SUMIFS(Июнь_2025[[#ALL],[Выручка (руб/мес)]],Июнь_2025[[#ALL],[Филиал ТЦ]],K$98,Июнь_2025[[#ALL],[Категория]],$A101)/SUMIFS(Июнь_2025[[#ALL],[Площадь (м²)]],Июнь_2025[[#ALL],[Филиал ТЦ]],K$98,Июнь_2025[[#ALL],[Категория]],$A101), "нет категории")</f>
        <v>14881.72043</v>
      </c>
    </row>
    <row r="102" ht="17.25" customHeight="1">
      <c r="A102" s="61" t="s">
        <v>140</v>
      </c>
      <c r="B102" s="62">
        <f>SUMIFS(Июнь_2025[[#ALL],[Площадь (м²)]],Июнь_2025[[#ALL],[Филиал ТЦ]],B$98,Июнь_2025[[#ALL],[Категория]],$A102)/SUMIFS(Июнь_2025[[#ALL],[Площадь (м²)]],Июнь_2025[[#ALL],[Филиал ТЦ]],B$98)</f>
        <v>0.05141388175</v>
      </c>
      <c r="C102" s="63">
        <f>IF(B102&gt;0, SUMIFS(Июнь_2025[[#ALL],[Выручка (руб/мес)]],Июнь_2025[[#ALL],[Филиал ТЦ]],B$98,Июнь_2025[[#ALL],[Категория]],$A102)/SUMIFS(Июнь_2025[[#ALL],[Продажи/мес]],Июнь_2025[[#ALL],[Филиал ТЦ]],B$98,Июнь_2025[[#ALL],[Категория]],$A102), "нет категории")</f>
        <v>27049.18033</v>
      </c>
      <c r="D102" s="64">
        <f>IF(B102&gt;0, SUMIFS(Июнь_2025[[#ALL],[Выручка (руб/мес)]],Июнь_2025[[#ALL],[Филиал ТЦ]],B$98,Июнь_2025[[#ALL],[Категория]],$A102)/SUMIFS(Июнь_2025[[#ALL],[Площадь (м²)]],Июнь_2025[[#ALL],[Филиал ТЦ]],B$98,Июнь_2025[[#ALL],[Категория]],$A102), "нет категории")</f>
        <v>10312.5</v>
      </c>
      <c r="E102" s="62">
        <f>SUMIFS(Июнь_2025[[#ALL],[Площадь (м²)]],Июнь_2025[[#ALL],[Филиал ТЦ]],E$98,Июнь_2025[[#ALL],[Категория]],$A102)/SUMIFS(Июнь_2025[[#ALL],[Площадь (м²)]],Июнь_2025[[#ALL],[Филиал ТЦ]],E$98)</f>
        <v>0.06893382353</v>
      </c>
      <c r="F102" s="63">
        <f>IF(E102&gt;0, SUMIFS(Июнь_2025[[#ALL],[Выручка (руб/мес)]],Июнь_2025[[#ALL],[Филиал ТЦ]],E$98,Июнь_2025[[#ALL],[Категория]],$A102)/SUMIFS(Июнь_2025[[#ALL],[Продажи/мес]],Июнь_2025[[#ALL],[Филиал ТЦ]],E$98,Июнь_2025[[#ALL],[Категория]],$A102), "нет категории")</f>
        <v>15294.11765</v>
      </c>
      <c r="G102" s="64">
        <f>IF(E102&gt;0,SUMIFS(Июнь_2025[[#ALL],[Выручка (руб/мес)]],Июнь_2025[[#ALL],[Филиал ТЦ]],E$98,Июнь_2025[[#ALL],[Категория]],$A102)/SUMIFS(Июнь_2025[[#ALL],[Площадь (м²)]],Июнь_2025[[#ALL],[Филиал ТЦ]],E$98,Июнь_2025[[#ALL],[Категория]],$A102), "нет категории")</f>
        <v>8666.666667</v>
      </c>
      <c r="H102" s="62">
        <f>SUMIFS(Июнь_2025[[#ALL],[Площадь (м²)]],Июнь_2025[[#ALL],[Филиал ТЦ]],H$98,Июнь_2025[[#ALL],[Категория]],$A102)/SUMIFS(Июнь_2025[[#ALL],[Площадь (м²)]],Июнь_2025[[#ALL],[Филиал ТЦ]],H$98)</f>
        <v>0.07547169811</v>
      </c>
      <c r="I102" s="63">
        <f>IF(H102&gt;0, SUMIFS(Июнь_2025[[#ALL],[Выручка (руб/мес)]],Июнь_2025[[#ALL],[Филиал ТЦ]],H$98,Июнь_2025[[#ALL],[Категория]],$A102)/SUMIFS(Июнь_2025[[#ALL],[Продажи/мес]],Июнь_2025[[#ALL],[Филиал ТЦ]],H$98,Июнь_2025[[#ALL],[Категория]],$A102), "нет категории")</f>
        <v>15384.61538</v>
      </c>
      <c r="J102" s="64">
        <f>IF(H102&gt;0, SUMIFS(Июнь_2025[[#ALL],[Выручка (руб/мес)]],Июнь_2025[[#ALL],[Филиал ТЦ]],H$98,Июнь_2025[[#ALL],[Категория]],$A102)/SUMIFS(Июнь_2025[[#ALL],[Площадь (м²)]],Июнь_2025[[#ALL],[Филиал ТЦ]],H$98,Июнь_2025[[#ALL],[Категория]],$A102), "нет категории")</f>
        <v>7142.857143</v>
      </c>
      <c r="K102" s="62">
        <f>SUMIFS(Июнь_2025[[#ALL],[Площадь (м²)]],Июнь_2025[[#ALL],[Филиал ТЦ]],K$98,Июнь_2025[[#ALL],[Категория]],$A102)/SUMIFS(Июнь_2025[[#ALL],[Площадь (м²)]],Июнь_2025[[#ALL],[Филиал ТЦ]],K$98)</f>
        <v>0.1094420601</v>
      </c>
      <c r="L102" s="63">
        <f>IF(K102&gt;0, SUMIFS(Июнь_2025[[#ALL],[Выручка (руб/мес)]],Июнь_2025[[#ALL],[Филиал ТЦ]],K$98,Июнь_2025[[#ALL],[Категория]],$A102)/SUMIFS(Июнь_2025[[#ALL],[Продажи/мес]],Июнь_2025[[#ALL],[Филиал ТЦ]],K$98,Июнь_2025[[#ALL],[Категория]],$A102), "нет категории")</f>
        <v>13949.27536</v>
      </c>
      <c r="M102" s="64">
        <f>IF(K102&gt;0, SUMIFS(Июнь_2025[[#ALL],[Выручка (руб/мес)]],Июнь_2025[[#ALL],[Филиал ТЦ]],K$98,Июнь_2025[[#ALL],[Категория]],$A102)/SUMIFS(Июнь_2025[[#ALL],[Площадь (м²)]],Июнь_2025[[#ALL],[Филиал ТЦ]],K$98,Июнь_2025[[#ALL],[Категория]],$A102), "нет категории")</f>
        <v>7549.019608</v>
      </c>
    </row>
    <row r="103" ht="17.25" customHeight="1">
      <c r="A103" s="61" t="s">
        <v>130</v>
      </c>
      <c r="B103" s="62">
        <f>SUMIFS(Июнь_2025[[#ALL],[Площадь (м²)]],Июнь_2025[[#ALL],[Филиал ТЦ]],B$98,Июнь_2025[[#ALL],[Категория]],$A103)/SUMIFS(Июнь_2025[[#ALL],[Площадь (м²)]],Июнь_2025[[#ALL],[Филиал ТЦ]],B$98)</f>
        <v>0.0353470437</v>
      </c>
      <c r="C103" s="63">
        <f>IF(B103&gt;0, SUMIFS(Июнь_2025[[#ALL],[Выручка (руб/мес)]],Июнь_2025[[#ALL],[Филиал ТЦ]],B$98,Июнь_2025[[#ALL],[Категория]],$A103)/SUMIFS(Июнь_2025[[#ALL],[Продажи/мес]],Июнь_2025[[#ALL],[Филиал ТЦ]],B$98,Июнь_2025[[#ALL],[Категория]],$A103), "нет категории")</f>
        <v>10666.66667</v>
      </c>
      <c r="D103" s="64">
        <f>IF(B103&gt;0, SUMIFS(Июнь_2025[[#ALL],[Выручка (руб/мес)]],Июнь_2025[[#ALL],[Филиал ТЦ]],B$98,Июнь_2025[[#ALL],[Категория]],$A103)/SUMIFS(Июнь_2025[[#ALL],[Площадь (м²)]],Июнь_2025[[#ALL],[Филиал ТЦ]],B$98,Июнь_2025[[#ALL],[Категория]],$A103), "нет категории")</f>
        <v>4363.636364</v>
      </c>
      <c r="E103" s="62">
        <f>SUMIFS(Июнь_2025[[#ALL],[Площадь (м²)]],Июнь_2025[[#ALL],[Филиал ТЦ]],E$98,Июнь_2025[[#ALL],[Категория]],$A103)/SUMIFS(Июнь_2025[[#ALL],[Площадь (м²)]],Июнь_2025[[#ALL],[Филиал ТЦ]],E$98)</f>
        <v>0.04595588235</v>
      </c>
      <c r="F103" s="63">
        <f>IF(E103&gt;0, SUMIFS(Июнь_2025[[#ALL],[Выручка (руб/мес)]],Июнь_2025[[#ALL],[Филиал ТЦ]],E$98,Июнь_2025[[#ALL],[Категория]],$A103)/SUMIFS(Июнь_2025[[#ALL],[Продажи/мес]],Июнь_2025[[#ALL],[Филиал ТЦ]],E$98,Июнь_2025[[#ALL],[Категория]],$A103), "нет категории")</f>
        <v>9500</v>
      </c>
      <c r="G103" s="64">
        <f>IF(E103&gt;0,SUMIFS(Июнь_2025[[#ALL],[Выручка (руб/мес)]],Июнь_2025[[#ALL],[Филиал ТЦ]],E$98,Июнь_2025[[#ALL],[Категория]],$A103)/SUMIFS(Июнь_2025[[#ALL],[Площадь (м²)]],Июнь_2025[[#ALL],[Филиал ТЦ]],E$98,Июнь_2025[[#ALL],[Категория]],$A103), "нет категории")</f>
        <v>1900</v>
      </c>
      <c r="H103" s="62">
        <f>SUMIFS(Июнь_2025[[#ALL],[Площадь (м²)]],Июнь_2025[[#ALL],[Филиал ТЦ]],H$98,Июнь_2025[[#ALL],[Категория]],$A103)/SUMIFS(Июнь_2025[[#ALL],[Площадь (м²)]],Июнь_2025[[#ALL],[Филиал ТЦ]],H$98)</f>
        <v>0.04851752022</v>
      </c>
      <c r="I103" s="63">
        <f>IF(H103&gt;0, SUMIFS(Июнь_2025[[#ALL],[Выручка (руб/мес)]],Июнь_2025[[#ALL],[Филиал ТЦ]],H$98,Июнь_2025[[#ALL],[Категория]],$A103)/SUMIFS(Июнь_2025[[#ALL],[Продажи/мес]],Июнь_2025[[#ALL],[Филиал ТЦ]],H$98,Июнь_2025[[#ALL],[Категория]],$A103), "нет категории")</f>
        <v>7500</v>
      </c>
      <c r="J103" s="64">
        <f>IF(H103&gt;0, SUMIFS(Июнь_2025[[#ALL],[Выручка (руб/мес)]],Июнь_2025[[#ALL],[Филиал ТЦ]],H$98,Июнь_2025[[#ALL],[Категория]],$A103)/SUMIFS(Июнь_2025[[#ALL],[Площадь (м²)]],Июнь_2025[[#ALL],[Филиал ТЦ]],H$98,Июнь_2025[[#ALL],[Категория]],$A103), "нет категории")</f>
        <v>3333.333333</v>
      </c>
      <c r="K103" s="62">
        <f>SUMIFS(Июнь_2025[[#ALL],[Площадь (м²)]],Июнь_2025[[#ALL],[Филиал ТЦ]],K$98,Июнь_2025[[#ALL],[Категория]],$A103)/SUMIFS(Июнь_2025[[#ALL],[Площадь (м²)]],Июнь_2025[[#ALL],[Филиал ТЦ]],K$98)</f>
        <v>0.03433476395</v>
      </c>
      <c r="L103" s="63">
        <f>IF(K103&gt;0, SUMIFS(Июнь_2025[[#ALL],[Выручка (руб/мес)]],Июнь_2025[[#ALL],[Филиал ТЦ]],K$98,Июнь_2025[[#ALL],[Категория]],$A103)/SUMIFS(Июнь_2025[[#ALL],[Продажи/мес]],Июнь_2025[[#ALL],[Филиал ТЦ]],K$98,Июнь_2025[[#ALL],[Категория]],$A103), "нет категории")</f>
        <v>9666.666667</v>
      </c>
      <c r="M103" s="64">
        <f>IF(K103&gt;0, SUMIFS(Июнь_2025[[#ALL],[Выручка (руб/мес)]],Июнь_2025[[#ALL],[Филиал ТЦ]],K$98,Июнь_2025[[#ALL],[Категория]],$A103)/SUMIFS(Июнь_2025[[#ALL],[Площадь (м²)]],Июнь_2025[[#ALL],[Филиал ТЦ]],K$98,Июнь_2025[[#ALL],[Категория]],$A103), "нет категории")</f>
        <v>3625</v>
      </c>
    </row>
    <row r="104" ht="17.25" customHeight="1">
      <c r="A104" s="61" t="s">
        <v>24</v>
      </c>
      <c r="B104" s="62">
        <f>SUMIFS(Июнь_2025[[#ALL],[Площадь (м²)]],Июнь_2025[[#ALL],[Филиал ТЦ]],B$98,Июнь_2025[[#ALL],[Категория]],$A104)/SUMIFS(Июнь_2025[[#ALL],[Площадь (м²)]],Июнь_2025[[#ALL],[Филиал ТЦ]],B$98)</f>
        <v>0.07422879177</v>
      </c>
      <c r="C104" s="63">
        <f>IF(B104&gt;0, SUMIFS(Июнь_2025[[#ALL],[Выручка (руб/мес)]],Июнь_2025[[#ALL],[Филиал ТЦ]],B$98,Июнь_2025[[#ALL],[Категория]],$A104)/SUMIFS(Июнь_2025[[#ALL],[Продажи/мес]],Июнь_2025[[#ALL],[Филиал ТЦ]],B$98,Июнь_2025[[#ALL],[Категория]],$A104), "нет категории")</f>
        <v>74722.22222</v>
      </c>
      <c r="D104" s="64">
        <f>IF(B104&gt;0, SUMIFS(Июнь_2025[[#ALL],[Выручка (руб/мес)]],Июнь_2025[[#ALL],[Филиал ТЦ]],B$98,Июнь_2025[[#ALL],[Категория]],$A104)/SUMIFS(Июнь_2025[[#ALL],[Площадь (м²)]],Июнь_2025[[#ALL],[Филиал ТЦ]],B$98,Июнь_2025[[#ALL],[Категория]],$A104), "нет категории")</f>
        <v>11645.02165</v>
      </c>
      <c r="E104" s="62">
        <f>SUMIFS(Июнь_2025[[#ALL],[Площадь (м²)]],Июнь_2025[[#ALL],[Филиал ТЦ]],E$98,Июнь_2025[[#ALL],[Категория]],$A104)/SUMIFS(Июнь_2025[[#ALL],[Площадь (м²)]],Июнь_2025[[#ALL],[Филиал ТЦ]],E$98)</f>
        <v>0.08272058824</v>
      </c>
      <c r="F104" s="63">
        <f>IF(E104&gt;0, SUMIFS(Июнь_2025[[#ALL],[Выручка (руб/мес)]],Июнь_2025[[#ALL],[Филиал ТЦ]],E$98,Июнь_2025[[#ALL],[Категория]],$A104)/SUMIFS(Июнь_2025[[#ALL],[Продажи/мес]],Июнь_2025[[#ALL],[Филиал ТЦ]],E$98,Июнь_2025[[#ALL],[Категория]],$A104), "нет категории")</f>
        <v>28125</v>
      </c>
      <c r="G104" s="64">
        <f>IF(E104&gt;0,SUMIFS(Июнь_2025[[#ALL],[Выручка (руб/мес)]],Июнь_2025[[#ALL],[Филиал ТЦ]],E$98,Июнь_2025[[#ALL],[Категория]],$A104)/SUMIFS(Июнь_2025[[#ALL],[Площадь (м²)]],Июнь_2025[[#ALL],[Филиал ТЦ]],E$98,Июнь_2025[[#ALL],[Категория]],$A104), "нет категории")</f>
        <v>10000</v>
      </c>
      <c r="H104" s="62">
        <f>SUMIFS(Июнь_2025[[#ALL],[Площадь (м²)]],Июнь_2025[[#ALL],[Филиал ТЦ]],H$98,Июнь_2025[[#ALL],[Категория]],$A104)/SUMIFS(Июнь_2025[[#ALL],[Площадь (м²)]],Июнь_2025[[#ALL],[Филиал ТЦ]],H$98)</f>
        <v>0.08032345013</v>
      </c>
      <c r="I104" s="63">
        <f>IF(H104&gt;0, SUMIFS(Июнь_2025[[#ALL],[Выручка (руб/мес)]],Июнь_2025[[#ALL],[Филиал ТЦ]],H$98,Июнь_2025[[#ALL],[Категория]],$A104)/SUMIFS(Июнь_2025[[#ALL],[Продажи/мес]],Июнь_2025[[#ALL],[Филиал ТЦ]],H$98,Июнь_2025[[#ALL],[Категория]],$A104), "нет категории")</f>
        <v>95294.11765</v>
      </c>
      <c r="J104" s="64">
        <f>IF(H104&gt;0, SUMIFS(Июнь_2025[[#ALL],[Выручка (руб/мес)]],Июнь_2025[[#ALL],[Филиал ТЦ]],H$98,Июнь_2025[[#ALL],[Категория]],$A104)/SUMIFS(Июнь_2025[[#ALL],[Площадь (м²)]],Июнь_2025[[#ALL],[Филиал ТЦ]],H$98,Июнь_2025[[#ALL],[Категория]],$A104), "нет категории")</f>
        <v>10872.48322</v>
      </c>
      <c r="K104" s="62">
        <f>SUMIFS(Июнь_2025[[#ALL],[Площадь (м²)]],Июнь_2025[[#ALL],[Филиал ТЦ]],K$98,Июнь_2025[[#ALL],[Категория]],$A104)/SUMIFS(Июнь_2025[[#ALL],[Площадь (м²)]],Июнь_2025[[#ALL],[Филиал ТЦ]],K$98)</f>
        <v>0.0652360515</v>
      </c>
      <c r="L104" s="63">
        <f>IF(K104&gt;0, SUMIFS(Июнь_2025[[#ALL],[Выручка (руб/мес)]],Июнь_2025[[#ALL],[Филиал ТЦ]],K$98,Июнь_2025[[#ALL],[Категория]],$A104)/SUMIFS(Июнь_2025[[#ALL],[Продажи/мес]],Июнь_2025[[#ALL],[Филиал ТЦ]],K$98,Июнь_2025[[#ALL],[Категория]],$A104), "нет категории")</f>
        <v>27547.16981</v>
      </c>
      <c r="M104" s="64">
        <f>IF(K104&gt;0, SUMIFS(Июнь_2025[[#ALL],[Выручка (руб/мес)]],Июнь_2025[[#ALL],[Филиал ТЦ]],K$98,Июнь_2025[[#ALL],[Категория]],$A104)/SUMIFS(Июнь_2025[[#ALL],[Площадь (м²)]],Июнь_2025[[#ALL],[Филиал ТЦ]],K$98,Июнь_2025[[#ALL],[Категория]],$A104), "нет категории")</f>
        <v>9605.263158</v>
      </c>
    </row>
    <row r="105" ht="17.25" customHeight="1">
      <c r="A105" s="61" t="s">
        <v>40</v>
      </c>
      <c r="B105" s="62">
        <f>SUMIFS(Июнь_2025[[#ALL],[Площадь (м²)]],Июнь_2025[[#ALL],[Филиал ТЦ]],B$98,Июнь_2025[[#ALL],[Категория]],$A105)/SUMIFS(Июнь_2025[[#ALL],[Площадь (м²)]],Июнь_2025[[#ALL],[Филиал ТЦ]],B$98)</f>
        <v>0.09511568123</v>
      </c>
      <c r="C105" s="63">
        <f>IF(B105&gt;0, SUMIFS(Июнь_2025[[#ALL],[Выручка (руб/мес)]],Июнь_2025[[#ALL],[Филиал ТЦ]],B$98,Июнь_2025[[#ALL],[Категория]],$A105)/SUMIFS(Июнь_2025[[#ALL],[Продажи/мес]],Июнь_2025[[#ALL],[Филиал ТЦ]],B$98,Июнь_2025[[#ALL],[Категория]],$A105), "нет категории")</f>
        <v>80769.23077</v>
      </c>
      <c r="D105" s="64">
        <f>IF(B105&gt;0, SUMIFS(Июнь_2025[[#ALL],[Выручка (руб/мес)]],Июнь_2025[[#ALL],[Филиал ТЦ]],B$98,Июнь_2025[[#ALL],[Категория]],$A105)/SUMIFS(Июнь_2025[[#ALL],[Площадь (м²)]],Июнь_2025[[#ALL],[Филиал ТЦ]],B$98,Июнь_2025[[#ALL],[Категория]],$A105), "нет категории")</f>
        <v>14189.18919</v>
      </c>
      <c r="E105" s="62">
        <f>SUMIFS(Июнь_2025[[#ALL],[Площадь (м²)]],Июнь_2025[[#ALL],[Филиал ТЦ]],E$98,Июнь_2025[[#ALL],[Категория]],$A105)/SUMIFS(Июнь_2025[[#ALL],[Площадь (м²)]],Июнь_2025[[#ALL],[Филиал ТЦ]],E$98)</f>
        <v>0.2045036765</v>
      </c>
      <c r="F105" s="63">
        <f>IF(E105&gt;0, SUMIFS(Июнь_2025[[#ALL],[Выручка (руб/мес)]],Июнь_2025[[#ALL],[Филиал ТЦ]],E$98,Июнь_2025[[#ALL],[Категория]],$A105)/SUMIFS(Июнь_2025[[#ALL],[Продажи/мес]],Июнь_2025[[#ALL],[Филиал ТЦ]],E$98,Июнь_2025[[#ALL],[Категория]],$A105), "нет категории")</f>
        <v>61437.5</v>
      </c>
      <c r="G105" s="64">
        <f>IF(E105&gt;0,SUMIFS(Июнь_2025[[#ALL],[Выручка (руб/мес)]],Июнь_2025[[#ALL],[Филиал ТЦ]],E$98,Июнь_2025[[#ALL],[Категория]],$A105)/SUMIFS(Июнь_2025[[#ALL],[Площадь (м²)]],Июнь_2025[[#ALL],[Филиал ТЦ]],E$98,Июнь_2025[[#ALL],[Категория]],$A105), "нет категории")</f>
        <v>11044.94382</v>
      </c>
      <c r="H105" s="62">
        <f>SUMIFS(Июнь_2025[[#ALL],[Площадь (м²)]],Июнь_2025[[#ALL],[Филиал ТЦ]],H$98,Июнь_2025[[#ALL],[Категория]],$A105)/SUMIFS(Июнь_2025[[#ALL],[Площадь (м²)]],Июнь_2025[[#ALL],[Филиал ТЦ]],H$98)</f>
        <v>0.1326145553</v>
      </c>
      <c r="I105" s="63">
        <f>IF(H105&gt;0, SUMIFS(Июнь_2025[[#ALL],[Выручка (руб/мес)]],Июнь_2025[[#ALL],[Филиал ТЦ]],H$98,Июнь_2025[[#ALL],[Категория]],$A105)/SUMIFS(Июнь_2025[[#ALL],[Продажи/мес]],Июнь_2025[[#ALL],[Филиал ТЦ]],H$98,Июнь_2025[[#ALL],[Категория]],$A105), "нет категории")</f>
        <v>93103.44828</v>
      </c>
      <c r="J105" s="64">
        <f>IF(H105&gt;0, SUMIFS(Июнь_2025[[#ALL],[Выручка (руб/мес)]],Июнь_2025[[#ALL],[Филиал ТЦ]],H$98,Июнь_2025[[#ALL],[Категория]],$A105)/SUMIFS(Июнь_2025[[#ALL],[Площадь (м²)]],Июнь_2025[[#ALL],[Филиал ТЦ]],H$98,Июнь_2025[[#ALL],[Категория]],$A105), "нет категории")</f>
        <v>10975.60976</v>
      </c>
      <c r="K105" s="62">
        <f>SUMIFS(Июнь_2025[[#ALL],[Площадь (м²)]],Июнь_2025[[#ALL],[Филиал ТЦ]],K$98,Июнь_2025[[#ALL],[Категория]],$A105)/SUMIFS(Июнь_2025[[#ALL],[Площадь (м²)]],Июнь_2025[[#ALL],[Филиал ТЦ]],K$98)</f>
        <v>0.09270386266</v>
      </c>
      <c r="L105" s="63">
        <f>IF(K105&gt;0, SUMIFS(Июнь_2025[[#ALL],[Выручка (руб/мес)]],Июнь_2025[[#ALL],[Филиал ТЦ]],K$98,Июнь_2025[[#ALL],[Категория]],$A105)/SUMIFS(Июнь_2025[[#ALL],[Продажи/мес]],Июнь_2025[[#ALL],[Филиал ТЦ]],K$98,Июнь_2025[[#ALL],[Категория]],$A105), "нет категории")</f>
        <v>146851.8519</v>
      </c>
      <c r="M105" s="64">
        <f>IF(K105&gt;0, SUMIFS(Июнь_2025[[#ALL],[Выручка (руб/мес)]],Июнь_2025[[#ALL],[Филиал ТЦ]],K$98,Июнь_2025[[#ALL],[Категория]],$A105)/SUMIFS(Июнь_2025[[#ALL],[Площадь (м²)]],Июнь_2025[[#ALL],[Филиал ТЦ]],K$98,Июнь_2025[[#ALL],[Категория]],$A105), "нет категории")</f>
        <v>18356.48148</v>
      </c>
    </row>
    <row r="106" ht="17.25" customHeight="1">
      <c r="A106" s="61" t="s">
        <v>121</v>
      </c>
      <c r="B106" s="62">
        <f>SUMIFS(Июнь_2025[[#ALL],[Площадь (м²)]],Июнь_2025[[#ALL],[Филиал ТЦ]],B$98,Июнь_2025[[#ALL],[Категория]],$A106)/SUMIFS(Июнь_2025[[#ALL],[Площадь (м²)]],Июнь_2025[[#ALL],[Филиал ТЦ]],B$98)</f>
        <v>0.02570694087</v>
      </c>
      <c r="C106" s="63">
        <f>IF(B106&gt;0, SUMIFS(Июнь_2025[[#ALL],[Выручка (руб/мес)]],Июнь_2025[[#ALL],[Филиал ТЦ]],B$98,Июнь_2025[[#ALL],[Категория]],$A106)/SUMIFS(Июнь_2025[[#ALL],[Продажи/мес]],Июнь_2025[[#ALL],[Филиал ТЦ]],B$98,Июнь_2025[[#ALL],[Категория]],$A106), "нет категории")</f>
        <v>85714.28571</v>
      </c>
      <c r="D106" s="64">
        <f>IF(B106&gt;0, SUMIFS(Июнь_2025[[#ALL],[Выручка (руб/мес)]],Июнь_2025[[#ALL],[Филиал ТЦ]],B$98,Июнь_2025[[#ALL],[Категория]],$A106)/SUMIFS(Июнь_2025[[#ALL],[Площадь (м²)]],Июнь_2025[[#ALL],[Филиал ТЦ]],B$98,Июнь_2025[[#ALL],[Категория]],$A106), "нет категории")</f>
        <v>22500</v>
      </c>
      <c r="E106" s="62">
        <f>SUMIFS(Июнь_2025[[#ALL],[Площадь (м²)]],Июнь_2025[[#ALL],[Филиал ТЦ]],E$98,Июнь_2025[[#ALL],[Категория]],$A106)/SUMIFS(Июнь_2025[[#ALL],[Площадь (м²)]],Июнь_2025[[#ALL],[Филиал ТЦ]],E$98)</f>
        <v>0.08272058824</v>
      </c>
      <c r="F106" s="63">
        <f>IF(E106&gt;0, SUMIFS(Июнь_2025[[#ALL],[Выручка (руб/мес)]],Июнь_2025[[#ALL],[Филиал ТЦ]],E$98,Июнь_2025[[#ALL],[Категория]],$A106)/SUMIFS(Июнь_2025[[#ALL],[Продажи/мес]],Июнь_2025[[#ALL],[Филиал ТЦ]],E$98,Июнь_2025[[#ALL],[Категория]],$A106), "нет категории")</f>
        <v>350000</v>
      </c>
      <c r="G106" s="64">
        <f>IF(E106&gt;0,SUMIFS(Июнь_2025[[#ALL],[Выручка (руб/мес)]],Июнь_2025[[#ALL],[Филиал ТЦ]],E$98,Июнь_2025[[#ALL],[Категория]],$A106)/SUMIFS(Июнь_2025[[#ALL],[Площадь (м²)]],Июнь_2025[[#ALL],[Филиал ТЦ]],E$98,Июнь_2025[[#ALL],[Категория]],$A106), "нет категории")</f>
        <v>7777.777778</v>
      </c>
      <c r="H106" s="62">
        <f>SUMIFS(Июнь_2025[[#ALL],[Площадь (м²)]],Июнь_2025[[#ALL],[Филиал ТЦ]],H$98,Июнь_2025[[#ALL],[Категория]],$A106)/SUMIFS(Июнь_2025[[#ALL],[Площадь (м²)]],Июнь_2025[[#ALL],[Филиал ТЦ]],H$98)</f>
        <v>0.0539083558</v>
      </c>
      <c r="I106" s="63">
        <f>IF(H106&gt;0, SUMIFS(Июнь_2025[[#ALL],[Выручка (руб/мес)]],Июнь_2025[[#ALL],[Филиал ТЦ]],H$98,Июнь_2025[[#ALL],[Категория]],$A106)/SUMIFS(Июнь_2025[[#ALL],[Продажи/мес]],Июнь_2025[[#ALL],[Филиал ТЦ]],H$98,Июнь_2025[[#ALL],[Категория]],$A106), "нет категории")</f>
        <v>19565.21739</v>
      </c>
      <c r="J106" s="64">
        <f>IF(H106&gt;0, SUMIFS(Июнь_2025[[#ALL],[Выручка (руб/мес)]],Июнь_2025[[#ALL],[Филиал ТЦ]],H$98,Июнь_2025[[#ALL],[Категория]],$A106)/SUMIFS(Июнь_2025[[#ALL],[Площадь (м²)]],Июнь_2025[[#ALL],[Филиал ТЦ]],H$98,Июнь_2025[[#ALL],[Категория]],$A106), "нет категории")</f>
        <v>9000</v>
      </c>
      <c r="K106" s="62">
        <f>SUMIFS(Июнь_2025[[#ALL],[Площадь (м²)]],Июнь_2025[[#ALL],[Филиал ТЦ]],K$98,Июнь_2025[[#ALL],[Категория]],$A106)/SUMIFS(Июнь_2025[[#ALL],[Площадь (м²)]],Июнь_2025[[#ALL],[Филиал ТЦ]],K$98)</f>
        <v>0.01931330472</v>
      </c>
      <c r="L106" s="63">
        <f>IF(K106&gt;0, SUMIFS(Июнь_2025[[#ALL],[Выручка (руб/мес)]],Июнь_2025[[#ALL],[Филиал ТЦ]],K$98,Июнь_2025[[#ALL],[Категория]],$A106)/SUMIFS(Июнь_2025[[#ALL],[Продажи/мес]],Июнь_2025[[#ALL],[Филиал ТЦ]],K$98,Июнь_2025[[#ALL],[Категория]],$A106), "нет категории")</f>
        <v>30000</v>
      </c>
      <c r="M106" s="64">
        <f>IF(K106&gt;0, SUMIFS(Июнь_2025[[#ALL],[Выручка (руб/мес)]],Июнь_2025[[#ALL],[Филиал ТЦ]],K$98,Июнь_2025[[#ALL],[Категория]],$A106)/SUMIFS(Июнь_2025[[#ALL],[Площадь (м²)]],Июнь_2025[[#ALL],[Филиал ТЦ]],K$98,Июнь_2025[[#ALL],[Категория]],$A106), "нет категории")</f>
        <v>33333.33333</v>
      </c>
    </row>
    <row r="107" ht="17.25" customHeight="1">
      <c r="A107" s="61" t="s">
        <v>57</v>
      </c>
      <c r="B107" s="62">
        <f>SUMIFS(Июнь_2025[[#ALL],[Площадь (м²)]],Июнь_2025[[#ALL],[Филиал ТЦ]],B$98,Июнь_2025[[#ALL],[Категория]],$A107)/SUMIFS(Июнь_2025[[#ALL],[Площадь (м²)]],Июнь_2025[[#ALL],[Филиал ТЦ]],B$98)</f>
        <v>0.2538560411</v>
      </c>
      <c r="C107" s="63">
        <f>IF(B107&gt;0, SUMIFS(Июнь_2025[[#ALL],[Выручка (руб/мес)]],Июнь_2025[[#ALL],[Филиал ТЦ]],B$98,Июнь_2025[[#ALL],[Категория]],$A107)/SUMIFS(Июнь_2025[[#ALL],[Продажи/мес]],Июнь_2025[[#ALL],[Филиал ТЦ]],B$98,Июнь_2025[[#ALL],[Категория]],$A107), "нет категории")</f>
        <v>69763.77953</v>
      </c>
      <c r="D107" s="64">
        <f>IF(B107&gt;0, SUMIFS(Июнь_2025[[#ALL],[Выручка (руб/мес)]],Июнь_2025[[#ALL],[Филиал ТЦ]],B$98,Июнь_2025[[#ALL],[Категория]],$A107)/SUMIFS(Июнь_2025[[#ALL],[Площадь (м²)]],Июнь_2025[[#ALL],[Филиал ТЦ]],B$98,Июнь_2025[[#ALL],[Категория]],$A107), "нет категории")</f>
        <v>11215.18987</v>
      </c>
      <c r="E107" s="62">
        <f>SUMIFS(Июнь_2025[[#ALL],[Площадь (м²)]],Июнь_2025[[#ALL],[Филиал ТЦ]],E$98,Июнь_2025[[#ALL],[Категория]],$A107)/SUMIFS(Июнь_2025[[#ALL],[Площадь (м²)]],Июнь_2025[[#ALL],[Филиал ТЦ]],E$98)</f>
        <v>0</v>
      </c>
      <c r="F107" s="63" t="str">
        <f>IF(E107&gt;0, SUMIFS(Июнь_2025[[#ALL],[Выручка (руб/мес)]],Июнь_2025[[#ALL],[Филиал ТЦ]],E$98,Июнь_2025[[#ALL],[Категория]],$A107)/SUMIFS(Июнь_2025[[#ALL],[Продажи/мес]],Июнь_2025[[#ALL],[Филиал ТЦ]],E$98,Июнь_2025[[#ALL],[Категория]],$A107), "нет категории")</f>
        <v>нет категории</v>
      </c>
      <c r="G107" s="64" t="str">
        <f>IF(E107&gt;0,SUMIFS(Июнь_2025[[#ALL],[Выручка (руб/мес)]],Июнь_2025[[#ALL],[Филиал ТЦ]],E$98,Июнь_2025[[#ALL],[Категория]],$A107)/SUMIFS(Июнь_2025[[#ALL],[Площадь (м²)]],Июнь_2025[[#ALL],[Филиал ТЦ]],E$98,Июнь_2025[[#ALL],[Категория]],$A107), "нет категории")</f>
        <v>нет категории</v>
      </c>
      <c r="H107" s="62">
        <f>SUMIFS(Июнь_2025[[#ALL],[Площадь (м²)]],Июнь_2025[[#ALL],[Филиал ТЦ]],H$98,Июнь_2025[[#ALL],[Категория]],$A107)/SUMIFS(Июнь_2025[[#ALL],[Площадь (м²)]],Июнь_2025[[#ALL],[Филиал ТЦ]],H$98)</f>
        <v>0</v>
      </c>
      <c r="I107" s="63" t="str">
        <f>IF(H107&gt;0, SUMIFS(Июнь_2025[[#ALL],[Выручка (руб/мес)]],Июнь_2025[[#ALL],[Филиал ТЦ]],H$98,Июнь_2025[[#ALL],[Категория]],$A107)/SUMIFS(Июнь_2025[[#ALL],[Продажи/мес]],Июнь_2025[[#ALL],[Филиал ТЦ]],H$98,Июнь_2025[[#ALL],[Категория]],$A107), "нет категории")</f>
        <v>нет категории</v>
      </c>
      <c r="J107" s="64" t="str">
        <f>IF(H107&gt;0, SUMIFS(Июнь_2025[[#ALL],[Выручка (руб/мес)]],Июнь_2025[[#ALL],[Филиал ТЦ]],H$98,Июнь_2025[[#ALL],[Категория]],$A107)/SUMIFS(Июнь_2025[[#ALL],[Площадь (м²)]],Июнь_2025[[#ALL],[Филиал ТЦ]],H$98,Июнь_2025[[#ALL],[Категория]],$A107), "нет категории")</f>
        <v>нет категории</v>
      </c>
      <c r="K107" s="62">
        <f>SUMIFS(Июнь_2025[[#ALL],[Площадь (м²)]],Июнь_2025[[#ALL],[Филиал ТЦ]],K$98,Июнь_2025[[#ALL],[Категория]],$A107)/SUMIFS(Июнь_2025[[#ALL],[Площадь (м²)]],Июнь_2025[[#ALL],[Филиал ТЦ]],K$98)</f>
        <v>0.05879828326</v>
      </c>
      <c r="L107" s="63">
        <f>IF(K107&gt;0, SUMIFS(Июнь_2025[[#ALL],[Выручка (руб/мес)]],Июнь_2025[[#ALL],[Филиал ТЦ]],K$98,Июнь_2025[[#ALL],[Категория]],$A107)/SUMIFS(Июнь_2025[[#ALL],[Продажи/мес]],Июнь_2025[[#ALL],[Филиал ТЦ]],K$98,Июнь_2025[[#ALL],[Категория]],$A107), "нет категории")</f>
        <v>34521.73913</v>
      </c>
      <c r="M107" s="64">
        <f>IF(K107&gt;0, SUMIFS(Июнь_2025[[#ALL],[Выручка (руб/мес)]],Июнь_2025[[#ALL],[Филиал ТЦ]],K$98,Июнь_2025[[#ALL],[Категория]],$A107)/SUMIFS(Июнь_2025[[#ALL],[Площадь (м²)]],Июнь_2025[[#ALL],[Филиал ТЦ]],K$98,Июнь_2025[[#ALL],[Категория]],$A107), "нет категории")</f>
        <v>5795.620438</v>
      </c>
    </row>
    <row r="108" ht="17.25" customHeight="1">
      <c r="A108" s="61" t="s">
        <v>158</v>
      </c>
      <c r="B108" s="62">
        <f>SUMIFS(Июнь_2025[[#ALL],[Площадь (м²)]],Июнь_2025[[#ALL],[Филиал ТЦ]],B$98,Июнь_2025[[#ALL],[Категория]],$A108)/SUMIFS(Июнь_2025[[#ALL],[Площадь (м²)]],Июнь_2025[[#ALL],[Филиал ТЦ]],B$98)</f>
        <v>0.02892030848</v>
      </c>
      <c r="C108" s="63">
        <f>IF(B108&gt;0, SUMIFS(Июнь_2025[[#ALL],[Выручка (руб/мес)]],Июнь_2025[[#ALL],[Филиал ТЦ]],B$98,Июнь_2025[[#ALL],[Категория]],$A108)/SUMIFS(Июнь_2025[[#ALL],[Продажи/мес]],Июнь_2025[[#ALL],[Филиал ТЦ]],B$98,Июнь_2025[[#ALL],[Категория]],$A108), "нет категории")</f>
        <v>11250</v>
      </c>
      <c r="D108" s="64">
        <f>IF(B108&gt;0, SUMIFS(Июнь_2025[[#ALL],[Выручка (руб/мес)]],Июнь_2025[[#ALL],[Филиал ТЦ]],B$98,Июнь_2025[[#ALL],[Категория]],$A108)/SUMIFS(Июнь_2025[[#ALL],[Площадь (м²)]],Июнь_2025[[#ALL],[Филиал ТЦ]],B$98,Июнь_2025[[#ALL],[Категория]],$A108), "нет категории")</f>
        <v>5000</v>
      </c>
      <c r="E108" s="62">
        <f>SUMIFS(Июнь_2025[[#ALL],[Площадь (м²)]],Июнь_2025[[#ALL],[Филиал ТЦ]],E$98,Июнь_2025[[#ALL],[Категория]],$A108)/SUMIFS(Июнь_2025[[#ALL],[Площадь (м²)]],Июнь_2025[[#ALL],[Филиал ТЦ]],E$98)</f>
        <v>0.03676470588</v>
      </c>
      <c r="F108" s="63">
        <f>IF(E108&gt;0, SUMIFS(Июнь_2025[[#ALL],[Выручка (руб/мес)]],Июнь_2025[[#ALL],[Филиал ТЦ]],E$98,Июнь_2025[[#ALL],[Категория]],$A108)/SUMIFS(Июнь_2025[[#ALL],[Продажи/мес]],Июнь_2025[[#ALL],[Филиал ТЦ]],E$98,Июнь_2025[[#ALL],[Категория]],$A108), "нет категории")</f>
        <v>13658.53659</v>
      </c>
      <c r="G108" s="64">
        <f>IF(E108&gt;0,SUMIFS(Июнь_2025[[#ALL],[Выручка (руб/мес)]],Июнь_2025[[#ALL],[Филиал ТЦ]],E$98,Июнь_2025[[#ALL],[Категория]],$A108)/SUMIFS(Июнь_2025[[#ALL],[Площадь (м²)]],Июнь_2025[[#ALL],[Филиал ТЦ]],E$98,Июнь_2025[[#ALL],[Категория]],$A108), "нет категории")</f>
        <v>7000</v>
      </c>
      <c r="H108" s="62">
        <f>SUMIFS(Июнь_2025[[#ALL],[Площадь (м²)]],Июнь_2025[[#ALL],[Филиал ТЦ]],H$98,Июнь_2025[[#ALL],[Категория]],$A108)/SUMIFS(Июнь_2025[[#ALL],[Площадь (м²)]],Июнь_2025[[#ALL],[Филиал ТЦ]],H$98)</f>
        <v>0.03773584906</v>
      </c>
      <c r="I108" s="63">
        <f>IF(H108&gt;0, SUMIFS(Июнь_2025[[#ALL],[Выручка (руб/мес)]],Июнь_2025[[#ALL],[Филиал ТЦ]],H$98,Июнь_2025[[#ALL],[Категория]],$A108)/SUMIFS(Июнь_2025[[#ALL],[Продажи/мес]],Июнь_2025[[#ALL],[Филиал ТЦ]],H$98,Июнь_2025[[#ALL],[Категория]],$A108), "нет категории")</f>
        <v>10285.71429</v>
      </c>
      <c r="J108" s="64">
        <f>IF(H108&gt;0, SUMIFS(Июнь_2025[[#ALL],[Выручка (руб/мес)]],Июнь_2025[[#ALL],[Филиал ТЦ]],H$98,Июнь_2025[[#ALL],[Категория]],$A108)/SUMIFS(Июнь_2025[[#ALL],[Площадь (м²)]],Июнь_2025[[#ALL],[Филиал ТЦ]],H$98,Июнь_2025[[#ALL],[Категория]],$A108), "нет категории")</f>
        <v>5142.857143</v>
      </c>
      <c r="K108" s="62">
        <f>SUMIFS(Июнь_2025[[#ALL],[Площадь (м²)]],Июнь_2025[[#ALL],[Филиал ТЦ]],K$98,Июнь_2025[[#ALL],[Категория]],$A108)/SUMIFS(Июнь_2025[[#ALL],[Площадь (м²)]],Июнь_2025[[#ALL],[Филиал ТЦ]],K$98)</f>
        <v>0.1802575107</v>
      </c>
      <c r="L108" s="63">
        <f>IF(K108&gt;0, SUMIFS(Июнь_2025[[#ALL],[Выручка (руб/мес)]],Июнь_2025[[#ALL],[Филиал ТЦ]],K$98,Июнь_2025[[#ALL],[Категория]],$A108)/SUMIFS(Июнь_2025[[#ALL],[Продажи/мес]],Июнь_2025[[#ALL],[Филиал ТЦ]],K$98,Июнь_2025[[#ALL],[Категория]],$A108), "нет категории")</f>
        <v>7767.44186</v>
      </c>
      <c r="M108" s="64">
        <f>IF(K108&gt;0, SUMIFS(Июнь_2025[[#ALL],[Выручка (руб/мес)]],Июнь_2025[[#ALL],[Филиал ТЦ]],K$98,Июнь_2025[[#ALL],[Категория]],$A108)/SUMIFS(Июнь_2025[[#ALL],[Площадь (м²)]],Июнь_2025[[#ALL],[Филиал ТЦ]],K$98,Июнь_2025[[#ALL],[Категория]],$A108), "нет категории")</f>
        <v>3976.190476</v>
      </c>
    </row>
    <row r="109" ht="17.25" customHeight="1">
      <c r="A109" s="61" t="s">
        <v>12</v>
      </c>
      <c r="B109" s="62">
        <f>SUMIFS(Июнь_2025[[#ALL],[Площадь (м²)]],Июнь_2025[[#ALL],[Филиал ТЦ]],B$98,Июнь_2025[[#ALL],[Категория]],$A109)/SUMIFS(Июнь_2025[[#ALL],[Площадь (м²)]],Июнь_2025[[#ALL],[Филиал ТЦ]],B$98)</f>
        <v>0.04820051414</v>
      </c>
      <c r="C109" s="63">
        <f>IF(B109&gt;0, SUMIFS(Июнь_2025[[#ALL],[Выручка (руб/мес)]],Июнь_2025[[#ALL],[Филиал ТЦ]],B$98,Июнь_2025[[#ALL],[Категория]],$A109)/SUMIFS(Июнь_2025[[#ALL],[Продажи/мес]],Июнь_2025[[#ALL],[Филиал ТЦ]],B$98,Июнь_2025[[#ALL],[Категория]],$A109), "нет категории")</f>
        <v>15882.35294</v>
      </c>
      <c r="D109" s="64">
        <f>IF(B109&gt;0, SUMIFS(Июнь_2025[[#ALL],[Выручка (руб/мес)]],Июнь_2025[[#ALL],[Филиал ТЦ]],B$98,Июнь_2025[[#ALL],[Категория]],$A109)/SUMIFS(Июнь_2025[[#ALL],[Площадь (м²)]],Июнь_2025[[#ALL],[Филиал ТЦ]],B$98,Июнь_2025[[#ALL],[Категория]],$A109), "нет категории")</f>
        <v>9000</v>
      </c>
      <c r="E109" s="62">
        <f>SUMIFS(Июнь_2025[[#ALL],[Площадь (м²)]],Июнь_2025[[#ALL],[Филиал ТЦ]],E$98,Июнь_2025[[#ALL],[Категория]],$A109)/SUMIFS(Июнь_2025[[#ALL],[Площадь (м²)]],Июнь_2025[[#ALL],[Филиал ТЦ]],E$98)</f>
        <v>0.06433823529</v>
      </c>
      <c r="F109" s="63">
        <f>IF(E109&gt;0, SUMIFS(Июнь_2025[[#ALL],[Выручка (руб/мес)]],Июнь_2025[[#ALL],[Филиал ТЦ]],E$98,Июнь_2025[[#ALL],[Категория]],$A109)/SUMIFS(Июнь_2025[[#ALL],[Продажи/мес]],Июнь_2025[[#ALL],[Филиал ТЦ]],E$98,Июнь_2025[[#ALL],[Категория]],$A109), "нет категории")</f>
        <v>15333.33333</v>
      </c>
      <c r="G109" s="64">
        <f>IF(E109&gt;0,SUMIFS(Июнь_2025[[#ALL],[Выручка (руб/мес)]],Июнь_2025[[#ALL],[Филиал ТЦ]],E$98,Июнь_2025[[#ALL],[Категория]],$A109)/SUMIFS(Июнь_2025[[#ALL],[Площадь (м²)]],Июнь_2025[[#ALL],[Филиал ТЦ]],E$98,Июнь_2025[[#ALL],[Категория]],$A109), "нет категории")</f>
        <v>8214.285714</v>
      </c>
      <c r="H109" s="62">
        <f>SUMIFS(Июнь_2025[[#ALL],[Площадь (м²)]],Июнь_2025[[#ALL],[Филиал ТЦ]],H$98,Июнь_2025[[#ALL],[Категория]],$A109)/SUMIFS(Июнь_2025[[#ALL],[Площадь (м²)]],Июнь_2025[[#ALL],[Филиал ТЦ]],H$98)</f>
        <v>0.07008086253</v>
      </c>
      <c r="I109" s="63">
        <f>IF(H109&gt;0, SUMIFS(Июнь_2025[[#ALL],[Выручка (руб/мес)]],Июнь_2025[[#ALL],[Филиал ТЦ]],H$98,Июнь_2025[[#ALL],[Категория]],$A109)/SUMIFS(Июнь_2025[[#ALL],[Продажи/мес]],Июнь_2025[[#ALL],[Филиал ТЦ]],H$98,Июнь_2025[[#ALL],[Категория]],$A109), "нет категории")</f>
        <v>18461.53846</v>
      </c>
      <c r="J109" s="64">
        <f>IF(H109&gt;0, SUMIFS(Июнь_2025[[#ALL],[Выручка (руб/мес)]],Июнь_2025[[#ALL],[Филиал ТЦ]],H$98,Июнь_2025[[#ALL],[Категория]],$A109)/SUMIFS(Июнь_2025[[#ALL],[Площадь (м²)]],Июнь_2025[[#ALL],[Филиал ТЦ]],H$98,Июнь_2025[[#ALL],[Категория]],$A109), "нет категории")</f>
        <v>9230.769231</v>
      </c>
      <c r="K109" s="62">
        <f>SUMIFS(Июнь_2025[[#ALL],[Площадь (м²)]],Июнь_2025[[#ALL],[Филиал ТЦ]],K$98,Июнь_2025[[#ALL],[Категория]],$A109)/SUMIFS(Июнь_2025[[#ALL],[Площадь (м²)]],Июнь_2025[[#ALL],[Филиал ТЦ]],K$98)</f>
        <v>0.05150214592</v>
      </c>
      <c r="L109" s="63">
        <f>IF(K109&gt;0, SUMIFS(Июнь_2025[[#ALL],[Выручка (руб/мес)]],Июнь_2025[[#ALL],[Филиал ТЦ]],K$98,Июнь_2025[[#ALL],[Категория]],$A109)/SUMIFS(Июнь_2025[[#ALL],[Продажи/мес]],Июнь_2025[[#ALL],[Филиал ТЦ]],K$98,Июнь_2025[[#ALL],[Категория]],$A109), "нет категории")</f>
        <v>18333.33333</v>
      </c>
      <c r="M109" s="64">
        <f>IF(K109&gt;0, SUMIFS(Июнь_2025[[#ALL],[Выручка (руб/мес)]],Июнь_2025[[#ALL],[Филиал ТЦ]],K$98,Июнь_2025[[#ALL],[Категория]],$A109)/SUMIFS(Июнь_2025[[#ALL],[Площадь (м²)]],Июнь_2025[[#ALL],[Филиал ТЦ]],K$98,Июнь_2025[[#ALL],[Категория]],$A109), "нет категории")</f>
        <v>9166.666667</v>
      </c>
    </row>
    <row r="110" ht="17.25" customHeight="1">
      <c r="A110" s="61" t="s">
        <v>149</v>
      </c>
      <c r="B110" s="62">
        <f>SUMIFS(Июнь_2025[[#ALL],[Площадь (м²)]],Июнь_2025[[#ALL],[Филиал ТЦ]],B$98,Июнь_2025[[#ALL],[Категория]],$A110)/SUMIFS(Июнь_2025[[#ALL],[Площадь (м²)]],Июнь_2025[[#ALL],[Филиал ТЦ]],B$98)</f>
        <v>0.04177377892</v>
      </c>
      <c r="C110" s="63">
        <f>IF(B110&gt;0, SUMIFS(Июнь_2025[[#ALL],[Выручка (руб/мес)]],Июнь_2025[[#ALL],[Филиал ТЦ]],B$98,Июнь_2025[[#ALL],[Категория]],$A110)/SUMIFS(Июнь_2025[[#ALL],[Продажи/мес]],Июнь_2025[[#ALL],[Филиал ТЦ]],B$98,Июнь_2025[[#ALL],[Категория]],$A110), "нет категории")</f>
        <v>23416.66667</v>
      </c>
      <c r="D110" s="64">
        <f>IF(B110&gt;0, SUMIFS(Июнь_2025[[#ALL],[Выручка (руб/мес)]],Июнь_2025[[#ALL],[Филиал ТЦ]],B$98,Июнь_2025[[#ALL],[Категория]],$A110)/SUMIFS(Июнь_2025[[#ALL],[Площадь (м²)]],Июнь_2025[[#ALL],[Филиал ТЦ]],B$98,Июнь_2025[[#ALL],[Категория]],$A110), "нет категории")</f>
        <v>10807.69231</v>
      </c>
      <c r="E110" s="62">
        <f>SUMIFS(Июнь_2025[[#ALL],[Площадь (м²)]],Июнь_2025[[#ALL],[Филиал ТЦ]],E$98,Июнь_2025[[#ALL],[Категория]],$A110)/SUMIFS(Июнь_2025[[#ALL],[Площадь (м²)]],Июнь_2025[[#ALL],[Филиал ТЦ]],E$98)</f>
        <v>0.05514705882</v>
      </c>
      <c r="F110" s="63">
        <f>IF(E110&gt;0, SUMIFS(Июнь_2025[[#ALL],[Выручка (руб/мес)]],Июнь_2025[[#ALL],[Филиал ТЦ]],E$98,Июнь_2025[[#ALL],[Категория]],$A110)/SUMIFS(Июнь_2025[[#ALL],[Продажи/мес]],Июнь_2025[[#ALL],[Филиал ТЦ]],E$98,Июнь_2025[[#ALL],[Категория]],$A110), "нет категории")</f>
        <v>266666.6667</v>
      </c>
      <c r="G110" s="64">
        <f>IF(E110&gt;0,SUMIFS(Июнь_2025[[#ALL],[Выручка (руб/мес)]],Июнь_2025[[#ALL],[Филиал ТЦ]],E$98,Июнь_2025[[#ALL],[Категория]],$A110)/SUMIFS(Июнь_2025[[#ALL],[Площадь (м²)]],Июнь_2025[[#ALL],[Филиал ТЦ]],E$98,Июнь_2025[[#ALL],[Категория]],$A110), "нет категории")</f>
        <v>100000</v>
      </c>
      <c r="H110" s="62">
        <f>SUMIFS(Июнь_2025[[#ALL],[Площадь (м²)]],Июнь_2025[[#ALL],[Филиал ТЦ]],H$98,Июнь_2025[[#ALL],[Категория]],$A110)/SUMIFS(Июнь_2025[[#ALL],[Площадь (м²)]],Июнь_2025[[#ALL],[Филиал ТЦ]],H$98)</f>
        <v>0.05929919137</v>
      </c>
      <c r="I110" s="63">
        <f>IF(H110&gt;0, SUMIFS(Июнь_2025[[#ALL],[Выручка (руб/мес)]],Июнь_2025[[#ALL],[Филиал ТЦ]],H$98,Июнь_2025[[#ALL],[Категория]],$A110)/SUMIFS(Июнь_2025[[#ALL],[Продажи/мес]],Июнь_2025[[#ALL],[Филиал ТЦ]],H$98,Июнь_2025[[#ALL],[Категория]],$A110), "нет категории")</f>
        <v>23478.26087</v>
      </c>
      <c r="J110" s="64">
        <f>IF(H110&gt;0, SUMIFS(Июнь_2025[[#ALL],[Выручка (руб/мес)]],Июнь_2025[[#ALL],[Филиал ТЦ]],H$98,Июнь_2025[[#ALL],[Категория]],$A110)/SUMIFS(Июнь_2025[[#ALL],[Площадь (м²)]],Июнь_2025[[#ALL],[Филиал ТЦ]],H$98,Июнь_2025[[#ALL],[Категория]],$A110), "нет категории")</f>
        <v>9818.181818</v>
      </c>
      <c r="K110" s="62">
        <f>SUMIFS(Июнь_2025[[#ALL],[Площадь (м²)]],Июнь_2025[[#ALL],[Филиал ТЦ]],K$98,Июнь_2025[[#ALL],[Категория]],$A110)/SUMIFS(Июнь_2025[[#ALL],[Площадь (м²)]],Июнь_2025[[#ALL],[Филиал ТЦ]],K$98)</f>
        <v>0.04291845494</v>
      </c>
      <c r="L110" s="63">
        <f>IF(K110&gt;0, SUMIFS(Июнь_2025[[#ALL],[Выручка (руб/мес)]],Июнь_2025[[#ALL],[Филиал ТЦ]],K$98,Июнь_2025[[#ALL],[Категория]],$A110)/SUMIFS(Июнь_2025[[#ALL],[Продажи/мес]],Июнь_2025[[#ALL],[Филиал ТЦ]],K$98,Июнь_2025[[#ALL],[Категория]],$A110), "нет категории")</f>
        <v>22500</v>
      </c>
      <c r="M110" s="64">
        <f>IF(K110&gt;0, SUMIFS(Июнь_2025[[#ALL],[Выручка (руб/мес)]],Июнь_2025[[#ALL],[Филиал ТЦ]],K$98,Июнь_2025[[#ALL],[Категория]],$A110)/SUMIFS(Июнь_2025[[#ALL],[Площадь (м²)]],Июнь_2025[[#ALL],[Филиал ТЦ]],K$98,Июнь_2025[[#ALL],[Категория]],$A110), "нет категории")</f>
        <v>9000</v>
      </c>
    </row>
    <row r="111" ht="17.25" customHeight="1">
      <c r="A111" s="61" t="s">
        <v>137</v>
      </c>
      <c r="B111" s="62">
        <f>SUMIFS(Июнь_2025[[#ALL],[Площадь (м²)]],Июнь_2025[[#ALL],[Филиал ТЦ]],B$98,Июнь_2025[[#ALL],[Категория]],$A111)/SUMIFS(Июнь_2025[[#ALL],[Площадь (м²)]],Июнь_2025[[#ALL],[Филиал ТЦ]],B$98)</f>
        <v>0</v>
      </c>
      <c r="C111" s="63" t="str">
        <f>IF(B111&gt;0, SUMIFS(Июнь_2025[[#ALL],[Выручка (руб/мес)]],Июнь_2025[[#ALL],[Филиал ТЦ]],B$98,Июнь_2025[[#ALL],[Категория]],$A111)/SUMIFS(Июнь_2025[[#ALL],[Продажи/мес]],Июнь_2025[[#ALL],[Филиал ТЦ]],B$98,Июнь_2025[[#ALL],[Категория]],$A111), "нет категории")</f>
        <v>нет категории</v>
      </c>
      <c r="D111" s="64" t="str">
        <f>IF(B111&gt;0, SUMIFS(Июнь_2025[[#ALL],[Выручка (руб/мес)]],Июнь_2025[[#ALL],[Филиал ТЦ]],B$98,Июнь_2025[[#ALL],[Категория]],$A111)/SUMIFS(Июнь_2025[[#ALL],[Площадь (м²)]],Июнь_2025[[#ALL],[Филиал ТЦ]],B$98,Июнь_2025[[#ALL],[Категория]],$A111), "нет категории")</f>
        <v>нет категории</v>
      </c>
      <c r="E111" s="62">
        <f>SUMIFS(Июнь_2025[[#ALL],[Площадь (м²)]],Июнь_2025[[#ALL],[Филиал ТЦ]],E$98,Июнь_2025[[#ALL],[Категория]],$A111)/SUMIFS(Июнь_2025[[#ALL],[Площадь (м²)]],Июнь_2025[[#ALL],[Филиал ТЦ]],E$98)</f>
        <v>0</v>
      </c>
      <c r="F111" s="63" t="str">
        <f>IF(E111&gt;0, SUMIFS(Июнь_2025[[#ALL],[Выручка (руб/мес)]],Июнь_2025[[#ALL],[Филиал ТЦ]],E$98,Июнь_2025[[#ALL],[Категория]],$A111)/SUMIFS(Июнь_2025[[#ALL],[Продажи/мес]],Июнь_2025[[#ALL],[Филиал ТЦ]],E$98,Июнь_2025[[#ALL],[Категория]],$A111), "нет категории")</f>
        <v>нет категории</v>
      </c>
      <c r="G111" s="64" t="str">
        <f>IF(E111&gt;0,SUMIFS(Июнь_2025[[#ALL],[Выручка (руб/мес)]],Июнь_2025[[#ALL],[Филиал ТЦ]],E$98,Июнь_2025[[#ALL],[Категория]],$A111)/SUMIFS(Июнь_2025[[#ALL],[Площадь (м²)]],Июнь_2025[[#ALL],[Филиал ТЦ]],E$98,Июнь_2025[[#ALL],[Категория]],$A111), "нет категории")</f>
        <v>нет категории</v>
      </c>
      <c r="H111" s="62">
        <f>SUMIFS(Июнь_2025[[#ALL],[Площадь (м²)]],Июнь_2025[[#ALL],[Филиал ТЦ]],H$98,Июнь_2025[[#ALL],[Категория]],$A111)/SUMIFS(Июнь_2025[[#ALL],[Площадь (м²)]],Июнь_2025[[#ALL],[Филиал ТЦ]],H$98)</f>
        <v>0</v>
      </c>
      <c r="I111" s="63" t="str">
        <f>IF(H111&gt;0, SUMIFS(Июнь_2025[[#ALL],[Выручка (руб/мес)]],Июнь_2025[[#ALL],[Филиал ТЦ]],H$98,Июнь_2025[[#ALL],[Категория]],$A111)/SUMIFS(Июнь_2025[[#ALL],[Продажи/мес]],Июнь_2025[[#ALL],[Филиал ТЦ]],H$98,Июнь_2025[[#ALL],[Категория]],$A111), "нет категории")</f>
        <v>нет категории</v>
      </c>
      <c r="J111" s="64" t="str">
        <f>IF(H111&gt;0, SUMIFS(Июнь_2025[[#ALL],[Выручка (руб/мес)]],Июнь_2025[[#ALL],[Филиал ТЦ]],H$98,Июнь_2025[[#ALL],[Категория]],$A111)/SUMIFS(Июнь_2025[[#ALL],[Площадь (м²)]],Июнь_2025[[#ALL],[Филиал ТЦ]],H$98,Июнь_2025[[#ALL],[Категория]],$A111), "нет категории")</f>
        <v>нет категории</v>
      </c>
      <c r="K111" s="62">
        <f>SUMIFS(Июнь_2025[[#ALL],[Площадь (м²)]],Июнь_2025[[#ALL],[Филиал ТЦ]],K$98,Июнь_2025[[#ALL],[Категория]],$A111)/SUMIFS(Июнь_2025[[#ALL],[Площадь (м²)]],Июнь_2025[[#ALL],[Филиал ТЦ]],K$98)</f>
        <v>0</v>
      </c>
      <c r="L111" s="63" t="str">
        <f>IF(K111&gt;0, SUMIFS(Июнь_2025[[#ALL],[Выручка (руб/мес)]],Июнь_2025[[#ALL],[Филиал ТЦ]],K$98,Июнь_2025[[#ALL],[Категория]],$A111)/SUMIFS(Июнь_2025[[#ALL],[Продажи/мес]],Июнь_2025[[#ALL],[Филиал ТЦ]],K$98,Июнь_2025[[#ALL],[Категория]],$A111), "нет категории")</f>
        <v>нет категории</v>
      </c>
      <c r="M111" s="64" t="str">
        <f>IF(K111&gt;0, SUMIFS(Июнь_2025[[#ALL],[Выручка (руб/мес)]],Июнь_2025[[#ALL],[Филиал ТЦ]],K$98,Июнь_2025[[#ALL],[Категория]],$A111)/SUMIFS(Июнь_2025[[#ALL],[Площадь (м²)]],Июнь_2025[[#ALL],[Филиал ТЦ]],K$98,Июнь_2025[[#ALL],[Категория]],$A111), "нет категории")</f>
        <v>нет категории</v>
      </c>
    </row>
    <row r="112">
      <c r="A112" s="31"/>
      <c r="B112" s="31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</row>
    <row r="113">
      <c r="A113" s="31"/>
      <c r="B113" s="31"/>
      <c r="C113" s="28"/>
      <c r="D113" s="31"/>
      <c r="E113" s="28"/>
      <c r="F113" s="32"/>
      <c r="H113" s="28"/>
      <c r="I113" s="28"/>
      <c r="J113" s="28"/>
      <c r="K113" s="28"/>
      <c r="L113" s="28"/>
      <c r="M113" s="28"/>
    </row>
  </sheetData>
  <mergeCells count="4">
    <mergeCell ref="B98:D98"/>
    <mergeCell ref="E98:G98"/>
    <mergeCell ref="H98:J98"/>
    <mergeCell ref="K98:M98"/>
  </mergeCells>
  <conditionalFormatting sqref="C100:C111 F100:F111 I100:I111 L100:L111">
    <cfRule type="colorScale" priority="1">
      <colorScale>
        <cfvo type="min"/>
        <cfvo type="max"/>
        <color rgb="FFFFFFFF"/>
        <color rgb="FFCCCCCC"/>
      </colorScale>
    </cfRule>
  </conditionalFormatting>
  <conditionalFormatting sqref="C100:C111 F100:F111 I100:I111 L100:L111">
    <cfRule type="colorScale" priority="2">
      <colorScale>
        <cfvo type="min"/>
        <cfvo type="max"/>
        <color rgb="FFFFFFFF"/>
        <color rgb="FFCCCCCC"/>
      </colorScale>
    </cfRule>
  </conditionalFormatting>
  <conditionalFormatting sqref="I100:I111 L100:L111">
    <cfRule type="colorScale" priority="3">
      <colorScale>
        <cfvo type="min"/>
        <cfvo type="max"/>
        <color rgb="FFFFFFFF"/>
        <color rgb="FFD9D9D9"/>
      </colorScale>
    </cfRule>
  </conditionalFormatting>
  <conditionalFormatting sqref="L100:L111">
    <cfRule type="colorScale" priority="4">
      <colorScale>
        <cfvo type="min"/>
        <cfvo type="max"/>
        <color rgb="FFFFFFFF"/>
        <color rgb="FFD9D9D9"/>
      </colorScale>
    </cfRule>
  </conditionalFormatting>
  <conditionalFormatting sqref="D100:D111 G100:G111 J100:J111 M100:M111">
    <cfRule type="colorScale" priority="5">
      <colorScale>
        <cfvo type="min"/>
        <cfvo type="max"/>
        <color rgb="FFFFFFFF"/>
        <color rgb="FFD9EAD3"/>
      </colorScale>
    </cfRule>
  </conditionalFormatting>
  <conditionalFormatting sqref="D100:D111 G100:G112 J100:J111 M100:M111">
    <cfRule type="colorScale" priority="6">
      <colorScale>
        <cfvo type="min"/>
        <cfvo type="max"/>
        <color rgb="FFFFFFFF"/>
        <color rgb="FFD9EAD3"/>
      </colorScale>
    </cfRule>
  </conditionalFormatting>
  <conditionalFormatting sqref="J100:J111 M100:M111">
    <cfRule type="colorScale" priority="7">
      <colorScale>
        <cfvo type="min"/>
        <cfvo type="max"/>
        <color rgb="FFFFFFFF"/>
        <color rgb="FFD9EAD3"/>
      </colorScale>
    </cfRule>
  </conditionalFormatting>
  <conditionalFormatting sqref="M100:M111">
    <cfRule type="colorScale" priority="8">
      <colorScale>
        <cfvo type="min"/>
        <cfvo type="max"/>
        <color rgb="FFFFFFFF"/>
        <color rgb="FFD9EAD3"/>
      </colorScale>
    </cfRule>
  </conditionalFormatting>
  <conditionalFormatting sqref="B100:B111 K100:K111">
    <cfRule type="colorScale" priority="9">
      <colorScale>
        <cfvo type="min"/>
        <cfvo type="max"/>
        <color rgb="FFFFFFFF"/>
        <color rgb="FFD9E2F3"/>
      </colorScale>
    </cfRule>
  </conditionalFormatting>
  <conditionalFormatting sqref="E100:E111">
    <cfRule type="colorScale" priority="10">
      <colorScale>
        <cfvo type="min"/>
        <cfvo type="max"/>
        <color rgb="FFFFFFFF"/>
        <color rgb="FFD9E2F3"/>
      </colorScale>
    </cfRule>
  </conditionalFormatting>
  <conditionalFormatting sqref="H100:H111">
    <cfRule type="colorScale" priority="11">
      <colorScale>
        <cfvo type="min"/>
        <cfvo type="max"/>
        <color rgb="FFFFFFFF"/>
        <color rgb="FFD9E2F3"/>
      </colorScale>
    </cfRule>
  </conditionalFormatting>
  <conditionalFormatting sqref="K100:K111">
    <cfRule type="colorScale" priority="12">
      <colorScale>
        <cfvo type="min"/>
        <cfvo type="max"/>
        <color rgb="FFFFFFFF"/>
        <color rgb="FFD9E2F3"/>
      </colorScale>
    </cfRule>
  </conditionalFormatting>
  <dataValidations>
    <dataValidation type="list" allowBlank="1" sqref="A2:A80">
      <formula1>"Мебельный Плаза,Гранд Интерьер,Дом Будущего,Уютный Квартал"</formula1>
    </dataValidation>
    <dataValidation type="list" allowBlank="1" sqref="A91:A94">
      <formula1>"Мебельный Плаза,Гранд Интерьер,Дом Будущего,Уютный Квартал"</formula1>
    </dataValidation>
    <dataValidation type="list" allowBlank="1" sqref="D2:D80">
      <formula1>"Кухонная мебель,Мягкая мебель,Столы и стулья,Предметы интерьера,Детская мебель,Корпусная мебель,Офисная мебель,Кровати и матрасы,Уличная мебель,Двери,Техника,Пустой"</formula1>
    </dataValidation>
    <dataValidation type="custom" allowBlank="1" showDropDown="1" sqref="E2:I80 B91:B94 F91:I94">
      <formula1>AND(ISNUMBER(B2),(NOT(OR(NOT(ISERROR(DATEVALUE(B2))), AND(ISNUMBER(B2), LEFT(CELL("format", B2))="D")))))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  <tableParts count="3"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showGridLines="0"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23.0"/>
    <col customWidth="1" hidden="1" min="2" max="2" width="10.43"/>
    <col customWidth="1" min="3" max="3" width="9.43"/>
    <col customWidth="1" min="4" max="4" width="13.29"/>
    <col customWidth="1" min="5" max="5" width="7.0"/>
    <col customWidth="1" min="6" max="6" width="11.86"/>
    <col customWidth="1" min="7" max="7" width="9.43"/>
    <col customWidth="1" min="8" max="8" width="13.29"/>
    <col customWidth="1" min="9" max="9" width="7.0"/>
    <col customWidth="1" min="10" max="10" width="12.43"/>
    <col customWidth="1" min="11" max="11" width="9.43"/>
    <col customWidth="1" min="12" max="12" width="13.29"/>
    <col customWidth="1" min="13" max="13" width="7.0"/>
    <col customWidth="1" min="14" max="14" width="12.43"/>
    <col customWidth="1" min="15" max="15" width="9.43"/>
    <col customWidth="1" min="16" max="16" width="13.29"/>
    <col customWidth="1" min="17" max="17" width="7.0"/>
    <col customWidth="1" min="18" max="18" width="12.43"/>
    <col customWidth="1" min="19" max="19" width="9.43"/>
    <col customWidth="1" min="20" max="20" width="13.29"/>
    <col customWidth="1" min="21" max="21" width="7.0"/>
    <col customWidth="1" min="22" max="22" width="12.43"/>
    <col customWidth="1" min="23" max="23" width="9.43"/>
    <col customWidth="1" min="24" max="24" width="13.29"/>
    <col customWidth="1" min="25" max="25" width="7.0"/>
    <col customWidth="1" min="26" max="26" width="12.43"/>
  </cols>
  <sheetData>
    <row r="1">
      <c r="A1" s="68" t="s">
        <v>184</v>
      </c>
      <c r="B1" s="69"/>
      <c r="C1" s="70"/>
      <c r="D1" s="70"/>
      <c r="E1" s="71"/>
      <c r="F1" s="70"/>
      <c r="G1" s="70"/>
      <c r="H1" s="70"/>
      <c r="I1" s="71"/>
      <c r="J1" s="70"/>
      <c r="K1" s="70"/>
      <c r="L1" s="70"/>
      <c r="M1" s="71"/>
      <c r="N1" s="70"/>
      <c r="O1" s="70"/>
      <c r="P1" s="70"/>
      <c r="Q1" s="71"/>
      <c r="R1" s="70"/>
      <c r="S1" s="70"/>
      <c r="T1" s="70"/>
      <c r="U1" s="71"/>
      <c r="V1" s="70"/>
      <c r="W1" s="70"/>
      <c r="X1" s="70"/>
      <c r="Y1" s="71"/>
      <c r="Z1" s="70"/>
    </row>
    <row r="2" ht="9.75" customHeight="1">
      <c r="B2" s="72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>
      <c r="B3" s="73"/>
      <c r="C3" s="74" t="s">
        <v>185</v>
      </c>
      <c r="F3" s="75"/>
      <c r="G3" s="74" t="s">
        <v>186</v>
      </c>
      <c r="J3" s="75"/>
      <c r="K3" s="74" t="s">
        <v>187</v>
      </c>
      <c r="N3" s="75"/>
      <c r="O3" s="74" t="s">
        <v>188</v>
      </c>
      <c r="R3" s="75"/>
      <c r="S3" s="74" t="s">
        <v>189</v>
      </c>
      <c r="V3" s="75"/>
      <c r="W3" s="74" t="s">
        <v>190</v>
      </c>
      <c r="Z3" s="75"/>
    </row>
    <row r="4">
      <c r="B4" s="76" t="s">
        <v>191</v>
      </c>
      <c r="C4" s="77" t="s">
        <v>192</v>
      </c>
      <c r="D4" s="77" t="s">
        <v>193</v>
      </c>
      <c r="E4" s="78"/>
      <c r="F4" s="79" t="s">
        <v>194</v>
      </c>
      <c r="G4" s="77" t="s">
        <v>192</v>
      </c>
      <c r="H4" s="77" t="s">
        <v>193</v>
      </c>
      <c r="I4" s="78"/>
      <c r="J4" s="79" t="s">
        <v>194</v>
      </c>
      <c r="K4" s="77" t="s">
        <v>192</v>
      </c>
      <c r="L4" s="77" t="s">
        <v>193</v>
      </c>
      <c r="M4" s="78"/>
      <c r="N4" s="79" t="s">
        <v>194</v>
      </c>
      <c r="O4" s="77" t="s">
        <v>192</v>
      </c>
      <c r="P4" s="77" t="s">
        <v>193</v>
      </c>
      <c r="Q4" s="78"/>
      <c r="R4" s="79" t="s">
        <v>194</v>
      </c>
      <c r="S4" s="77" t="s">
        <v>192</v>
      </c>
      <c r="T4" s="77" t="s">
        <v>193</v>
      </c>
      <c r="U4" s="78"/>
      <c r="V4" s="79" t="s">
        <v>194</v>
      </c>
      <c r="W4" s="77" t="s">
        <v>192</v>
      </c>
      <c r="X4" s="77" t="s">
        <v>193</v>
      </c>
      <c r="Y4" s="78"/>
      <c r="Z4" s="79" t="s">
        <v>194</v>
      </c>
    </row>
    <row r="5" ht="24.75" customHeight="1">
      <c r="A5" s="80" t="s">
        <v>195</v>
      </c>
      <c r="B5" s="81"/>
      <c r="C5" s="82"/>
      <c r="D5" s="82"/>
      <c r="E5" s="83"/>
      <c r="F5" s="84"/>
      <c r="G5" s="82"/>
      <c r="H5" s="82"/>
      <c r="I5" s="83"/>
      <c r="J5" s="85"/>
      <c r="K5" s="82"/>
      <c r="L5" s="82"/>
      <c r="M5" s="83"/>
      <c r="N5" s="85"/>
      <c r="O5" s="82"/>
      <c r="P5" s="82"/>
      <c r="Q5" s="83"/>
      <c r="R5" s="85"/>
      <c r="S5" s="82"/>
      <c r="T5" s="82"/>
      <c r="U5" s="83"/>
      <c r="V5" s="85"/>
      <c r="W5" s="82"/>
      <c r="X5" s="82"/>
      <c r="Y5" s="83"/>
      <c r="Z5" s="85"/>
    </row>
    <row r="6">
      <c r="A6" s="86" t="s">
        <v>196</v>
      </c>
      <c r="B6" s="87" t="s">
        <v>197</v>
      </c>
      <c r="C6" s="88">
        <f t="shared" ref="C6:D6" si="1">SUM(C17,C25,C33,C41)</f>
        <v>9473</v>
      </c>
      <c r="D6" s="88">
        <f t="shared" si="1"/>
        <v>8988</v>
      </c>
      <c r="E6" s="89">
        <f t="shared" ref="E6:E7" si="8">D6/C6</f>
        <v>0.9488018579</v>
      </c>
      <c r="F6" s="90" t="str">
        <f>IFERROR(__xludf.DUMMYFUNCTION("IF($B$6=""да"",
    IF(E6=1, SPARKLINE(E6, {""charttype"",""bar"";""max"",1;""color1"",""#6aa84f""}), SPARKLINE(E6, {""charttype"",""bar"";""max"",1;""color1"",""#e06666""})),
    IF(E6&lt;1, SPARKLINE(E6, {""charttype"",""bar"";""max"",1;""color1"",""#6aa84"&amp;"f""}), SPARKLINE(E6, {""charttype"",""bar"";""max"",1;""color1"",""#e06666""}))
)"),"")</f>
        <v/>
      </c>
      <c r="G6" s="88">
        <f t="shared" ref="G6:H6" si="2">SUM(G17,G25,G33,G41)</f>
        <v>9473</v>
      </c>
      <c r="H6" s="88">
        <f t="shared" si="2"/>
        <v>9038</v>
      </c>
      <c r="I6" s="91">
        <f t="shared" ref="I6:I7" si="10">H6/G6</f>
        <v>0.9540800169</v>
      </c>
      <c r="J6" s="90" t="str">
        <f>IFERROR(__xludf.DUMMYFUNCTION("IF($B$6=""да"",
    IF(I6=1, SPARKLINE(I6, {""charttype"",""bar"";""max"",1;""color1"",""#6aa84f""}), SPARKLINE(I6, {""charttype"",""bar"";""max"",1;""color1"",""#e06666""})),
    IF(I6&lt;1, SPARKLINE(I6, {""charttype"",""bar"";""max"",1;""color1"",""#6aa84"&amp;"f""}), SPARKLINE(I6, {""charttype"",""bar"";""max"",1;""color1"",""#e06666""}))
)"),"")</f>
        <v/>
      </c>
      <c r="K6" s="88">
        <f t="shared" ref="K6:L6" si="3">SUM(K17,K25,K33,K41)</f>
        <v>9473</v>
      </c>
      <c r="L6" s="88">
        <f t="shared" si="3"/>
        <v>9038</v>
      </c>
      <c r="M6" s="89">
        <f t="shared" ref="M6:M7" si="12">L6/K6</f>
        <v>0.9540800169</v>
      </c>
      <c r="N6" s="90" t="str">
        <f>IFERROR(__xludf.DUMMYFUNCTION("IF($B$6=""да"",
    IF(M6=1, SPARKLINE(M6, {""charttype"",""bar"";""max"",1;""color1"",""#6aa84f""}), SPARKLINE(M6, {""charttype"",""bar"";""max"",1;""color1"",""#e06666""})),
    IF(M6&lt;1, SPARKLINE(M6, {""charttype"",""bar"";""max"",1;""color1"",""#6aa84"&amp;"f""}), SPARKLINE(M6, {""charttype"",""bar"";""max"",1;""color1"",""#e06666""}))
)"),"")</f>
        <v/>
      </c>
      <c r="O6" s="88">
        <f t="shared" ref="O6:P6" si="4">SUM(O17,O25,O33,O41)</f>
        <v>9473</v>
      </c>
      <c r="P6" s="88">
        <f t="shared" si="4"/>
        <v>9038</v>
      </c>
      <c r="Q6" s="89">
        <f t="shared" ref="Q6:Q7" si="14">P6/O6</f>
        <v>0.9540800169</v>
      </c>
      <c r="R6" s="90" t="str">
        <f>IFERROR(__xludf.DUMMYFUNCTION("IF($B$6=""да"",
    IF(Q6=1, SPARKLINE(Q6, {""charttype"",""bar"";""max"",1;""color1"",""#6aa84f""}), SPARKLINE(Q6, {""charttype"",""bar"";""max"",1;""color1"",""#e06666""})),
    IF(Q6&lt;1, SPARKLINE(Q6, {""charttype"",""bar"";""max"",1;""color1"",""#6aa84"&amp;"f""}), SPARKLINE(Q6, {""charttype"",""bar"";""max"",1;""color1"",""#e06666""}))
)"),"")</f>
        <v/>
      </c>
      <c r="S6" s="88">
        <f t="shared" ref="S6:T6" si="5">SUM(S17,S25,S33,S41)</f>
        <v>9473</v>
      </c>
      <c r="T6" s="88">
        <f t="shared" si="5"/>
        <v>9038</v>
      </c>
      <c r="U6" s="89">
        <f t="shared" ref="U6:U7" si="16">T6/S6</f>
        <v>0.9540800169</v>
      </c>
      <c r="V6" s="90" t="str">
        <f>IFERROR(__xludf.DUMMYFUNCTION("IF($B$6=""да"",
    IF(U6=1, SPARKLINE(U6, {""charttype"",""bar"";""max"",1;""color1"",""#6aa84f""}), SPARKLINE(U6, {""charttype"",""bar"";""max"",1;""color1"",""#e06666""})),
    IF(U6&lt;1, SPARKLINE(U6, {""charttype"",""bar"";""max"",1;""color1"",""#6aa84"&amp;"f""}), SPARKLINE(U6, {""charttype"",""bar"";""max"",1;""color1"",""#e06666""}))
)"),"")</f>
        <v/>
      </c>
      <c r="W6" s="88">
        <f t="shared" ref="W6:X6" si="6">SUM(W17,W25,W33,W41)</f>
        <v>9473</v>
      </c>
      <c r="X6" s="88">
        <f t="shared" si="6"/>
        <v>9473</v>
      </c>
      <c r="Y6" s="89">
        <f t="shared" ref="Y6:Y7" si="18">X6/W6</f>
        <v>1</v>
      </c>
      <c r="Z6" s="90" t="str">
        <f>IFERROR(__xludf.DUMMYFUNCTION("IF($B$6=""да"",
    IF(Y6=1, SPARKLINE(Y6, {""charttype"",""bar"";""max"",1;""color1"",""#6aa84f""}), SPARKLINE(Y6, {""charttype"",""bar"";""max"",1;""color1"",""#e06666""})),
    IF(Y6&lt;1, SPARKLINE(Y6, {""charttype"",""bar"";""max"",1;""color1"",""#6aa84"&amp;"f""}), SPARKLINE(Y6, {""charttype"",""bar"";""max"",1;""color1"",""#e06666""}))
)"),"")</f>
        <v/>
      </c>
    </row>
    <row r="7">
      <c r="A7" s="86" t="s">
        <v>198</v>
      </c>
      <c r="B7" s="92" t="s">
        <v>197</v>
      </c>
      <c r="C7" s="88">
        <f t="shared" ref="C7:D7" si="7">SUM(C18,C26,C34,C42)</f>
        <v>79</v>
      </c>
      <c r="D7" s="88">
        <f t="shared" si="7"/>
        <v>76</v>
      </c>
      <c r="E7" s="89">
        <f t="shared" si="8"/>
        <v>0.9620253165</v>
      </c>
      <c r="F7" s="90" t="str">
        <f>IFERROR(__xludf.DUMMYFUNCTION("IF($B$7=""да"",
    IF(E7=1, SPARKLINE(E7, {""charttype"",""bar"";""max"",1;""color1"",""#6aa84f""}), SPARKLINE(E7, {""charttype"",""bar"";""max"",1;""color1"",""#e06666""})),
    IF(E7&lt;1, SPARKLINE(E7, {""charttype"",""bar"";""max"",1;""color1"",""#6aa84"&amp;"f""}), SPARKLINE(E7, {""charttype"",""bar"";""max"",1;""color1"",""#e06666""}))
)"),"")</f>
        <v/>
      </c>
      <c r="G7" s="88">
        <f t="shared" ref="G7:H7" si="9">SUM(G18,G26,G34,G42)</f>
        <v>79</v>
      </c>
      <c r="H7" s="88">
        <f t="shared" si="9"/>
        <v>77</v>
      </c>
      <c r="I7" s="91">
        <f t="shared" si="10"/>
        <v>0.9746835443</v>
      </c>
      <c r="J7" s="90" t="str">
        <f>IFERROR(__xludf.DUMMYFUNCTION("IF($B$7=""да"",
    IF(I7=1, SPARKLINE(I7, {""charttype"",""bar"";""max"",1;""color1"",""#6aa84f""}), SPARKLINE(I7, {""charttype"",""bar"";""max"",1;""color1"",""#e06666""})),
    IF(I7&lt;1, SPARKLINE(I7, {""charttype"",""bar"";""max"",1;""color1"",""#6aa84"&amp;"f""}), SPARKLINE(I7, {""charttype"",""bar"";""max"",1;""color1"",""#e06666""}))
)"),"")</f>
        <v/>
      </c>
      <c r="K7" s="88">
        <f t="shared" ref="K7:L7" si="11">SUM(K18,K26,K34,K42)</f>
        <v>79</v>
      </c>
      <c r="L7" s="88">
        <f t="shared" si="11"/>
        <v>77</v>
      </c>
      <c r="M7" s="89">
        <f t="shared" si="12"/>
        <v>0.9746835443</v>
      </c>
      <c r="N7" s="90" t="str">
        <f>IFERROR(__xludf.DUMMYFUNCTION("IF($B$7=""да"",
    IF(M7=1, SPARKLINE(M7, {""charttype"",""bar"";""max"",1;""color1"",""#6aa84f""}), SPARKLINE(M7, {""charttype"",""bar"";""max"",1;""color1"",""#e06666""})),
    IF(M7&lt;1, SPARKLINE(M7, {""charttype"",""bar"";""max"",1;""color1"",""#6aa84"&amp;"f""}), SPARKLINE(M7, {""charttype"",""bar"";""max"",1;""color1"",""#e06666""}))
)"),"")</f>
        <v/>
      </c>
      <c r="O7" s="88">
        <f t="shared" ref="O7:P7" si="13">SUM(O18,O26,O34,O42)</f>
        <v>79</v>
      </c>
      <c r="P7" s="88">
        <f t="shared" si="13"/>
        <v>77</v>
      </c>
      <c r="Q7" s="89">
        <f t="shared" si="14"/>
        <v>0.9746835443</v>
      </c>
      <c r="R7" s="90" t="str">
        <f>IFERROR(__xludf.DUMMYFUNCTION("IF($B$7=""да"",
    IF(Q7=1, SPARKLINE(Q7, {""charttype"",""bar"";""max"",1;""color1"",""#6aa84f""}), SPARKLINE(Q7, {""charttype"",""bar"";""max"",1;""color1"",""#e06666""})),
    IF(Q7&lt;1, SPARKLINE(Q7, {""charttype"",""bar"";""max"",1;""color1"",""#6aa84"&amp;"f""}), SPARKLINE(Q7, {""charttype"",""bar"";""max"",1;""color1"",""#e06666""}))
)"),"")</f>
        <v/>
      </c>
      <c r="S7" s="88">
        <f t="shared" ref="S7:T7" si="15">SUM(S18,S26,S34,S42)</f>
        <v>79</v>
      </c>
      <c r="T7" s="88">
        <f t="shared" si="15"/>
        <v>77</v>
      </c>
      <c r="U7" s="89">
        <f t="shared" si="16"/>
        <v>0.9746835443</v>
      </c>
      <c r="V7" s="90" t="str">
        <f>IFERROR(__xludf.DUMMYFUNCTION("IF($B$7=""да"",
    IF(U7=1, SPARKLINE(U7, {""charttype"",""bar"";""max"",1;""color1"",""#6aa84f""}), SPARKLINE(U7, {""charttype"",""bar"";""max"",1;""color1"",""#e06666""})),
    IF(U7&lt;1, SPARKLINE(U7, {""charttype"",""bar"";""max"",1;""color1"",""#6aa84"&amp;"f""}), SPARKLINE(U7, {""charttype"",""bar"";""max"",1;""color1"",""#e06666""}))
)"),"")</f>
        <v/>
      </c>
      <c r="W7" s="88">
        <f t="shared" ref="W7:X7" si="17">SUM(W18,W26,W34,W42)</f>
        <v>79</v>
      </c>
      <c r="X7" s="88">
        <f t="shared" si="17"/>
        <v>79</v>
      </c>
      <c r="Y7" s="89">
        <f t="shared" si="18"/>
        <v>1</v>
      </c>
      <c r="Z7" s="90" t="str">
        <f>IFERROR(__xludf.DUMMYFUNCTION("IF($B$7=""да"",
    IF(Y7=1, SPARKLINE(Y7, {""charttype"",""bar"";""max"",1;""color1"",""#6aa84f""}), SPARKLINE(Y7, {""charttype"",""bar"";""max"",1;""color1"",""#e06666""})),
    IF(Y7&lt;1, SPARKLINE(Y7, {""charttype"",""bar"";""max"",1;""color1"",""#6aa84"&amp;"f""}), SPARKLINE(Y7, {""charttype"",""bar"";""max"",1;""color1"",""#e06666""}))
)"),"")</f>
        <v/>
      </c>
    </row>
    <row r="8">
      <c r="A8" s="86" t="s">
        <v>199</v>
      </c>
      <c r="B8" s="93" t="s">
        <v>197</v>
      </c>
      <c r="C8" s="88"/>
      <c r="D8" s="88">
        <f t="shared" ref="D8:D10" si="19">SUM(D19,D27,D35,D43)</f>
        <v>2370</v>
      </c>
      <c r="E8" s="94"/>
      <c r="F8" s="95"/>
      <c r="G8" s="88"/>
      <c r="H8" s="88">
        <f t="shared" ref="H8:H10" si="20">SUM(H19,H27,H35,H43)</f>
        <v>2300</v>
      </c>
      <c r="I8" s="91">
        <f t="shared" ref="I8:I10" si="21">H8/D8-1</f>
        <v>-0.02953586498</v>
      </c>
      <c r="J8" s="96" t="str">
        <f t="shared" ref="J8:J9" si="22">IF(I8&gt;0,"▲",IF(I8&lt;0, "▼", " "))</f>
        <v>▼</v>
      </c>
      <c r="K8" s="88"/>
      <c r="L8" s="88">
        <f t="shared" ref="L8:L10" si="23">SUM(L19,L27,L35,L43)</f>
        <v>2445</v>
      </c>
      <c r="M8" s="89">
        <f t="shared" ref="M8:M10" si="24">L8/H8-1</f>
        <v>0.06304347826</v>
      </c>
      <c r="N8" s="96" t="str">
        <f t="shared" ref="N8:N9" si="25">IF(M8&gt;0,"▲",IF(M8&lt;0, "▼", " "))</f>
        <v>▲</v>
      </c>
      <c r="O8" s="88"/>
      <c r="P8" s="88">
        <f t="shared" ref="P8:P10" si="26">SUM(P19,P27,P35,P43)</f>
        <v>2352</v>
      </c>
      <c r="Q8" s="89">
        <f t="shared" ref="Q8:Q10" si="27">P8/L8-1</f>
        <v>-0.03803680982</v>
      </c>
      <c r="R8" s="96" t="str">
        <f t="shared" ref="R8:R9" si="28">IF(Q8&gt;0,"▲",IF(Q8&lt;0, "▼", " "))</f>
        <v>▼</v>
      </c>
      <c r="S8" s="88"/>
      <c r="T8" s="88">
        <f t="shared" ref="T8:T10" si="29">SUM(T19,T27,T35,T43)</f>
        <v>2553</v>
      </c>
      <c r="U8" s="89">
        <f t="shared" ref="U8:U10" si="30">T8/P8-1</f>
        <v>0.08545918367</v>
      </c>
      <c r="V8" s="96" t="str">
        <f t="shared" ref="V8:V9" si="31">IF(U8&gt;0,"▲",IF(U8&lt;0, "▼", " "))</f>
        <v>▲</v>
      </c>
      <c r="W8" s="88"/>
      <c r="X8" s="88">
        <f t="shared" ref="X8:X10" si="32">SUM(X19,X27,X35,X43)</f>
        <v>2620</v>
      </c>
      <c r="Y8" s="89">
        <f t="shared" ref="Y8:Y10" si="33">X8/T8-1</f>
        <v>0.02624363494</v>
      </c>
      <c r="Z8" s="96" t="str">
        <f t="shared" ref="Z8:Z9" si="34">IF(Y8&gt;0,"▲",IF(Y8&lt;0, "▼", " "))</f>
        <v>▲</v>
      </c>
    </row>
    <row r="9">
      <c r="A9" s="86" t="s">
        <v>200</v>
      </c>
      <c r="B9" s="93" t="s">
        <v>197</v>
      </c>
      <c r="C9" s="88"/>
      <c r="D9" s="88">
        <f t="shared" si="19"/>
        <v>132012500</v>
      </c>
      <c r="E9" s="94"/>
      <c r="F9" s="95"/>
      <c r="G9" s="88"/>
      <c r="H9" s="88">
        <f t="shared" si="20"/>
        <v>120074000</v>
      </c>
      <c r="I9" s="91">
        <f t="shared" si="21"/>
        <v>-0.09043461793</v>
      </c>
      <c r="J9" s="96" t="str">
        <f t="shared" si="22"/>
        <v>▼</v>
      </c>
      <c r="K9" s="88"/>
      <c r="L9" s="88">
        <f t="shared" si="23"/>
        <v>133742500</v>
      </c>
      <c r="M9" s="89">
        <f t="shared" si="24"/>
        <v>0.1138339691</v>
      </c>
      <c r="N9" s="96" t="str">
        <f t="shared" si="25"/>
        <v>▲</v>
      </c>
      <c r="O9" s="88"/>
      <c r="P9" s="88">
        <f t="shared" si="26"/>
        <v>130187500</v>
      </c>
      <c r="Q9" s="89">
        <f t="shared" si="27"/>
        <v>-0.02658092977</v>
      </c>
      <c r="R9" s="96" t="str">
        <f t="shared" si="28"/>
        <v>▼</v>
      </c>
      <c r="S9" s="88"/>
      <c r="T9" s="88">
        <f t="shared" si="29"/>
        <v>134181000</v>
      </c>
      <c r="U9" s="89">
        <f t="shared" si="30"/>
        <v>0.030674988</v>
      </c>
      <c r="V9" s="96" t="str">
        <f t="shared" si="31"/>
        <v>▲</v>
      </c>
      <c r="W9" s="88"/>
      <c r="X9" s="88">
        <f t="shared" si="32"/>
        <v>137202500</v>
      </c>
      <c r="Y9" s="89">
        <f t="shared" si="33"/>
        <v>0.02251809123</v>
      </c>
      <c r="Z9" s="96" t="str">
        <f t="shared" si="34"/>
        <v>▲</v>
      </c>
    </row>
    <row r="10">
      <c r="A10" s="86" t="s">
        <v>201</v>
      </c>
      <c r="B10" s="93" t="s">
        <v>202</v>
      </c>
      <c r="C10" s="88"/>
      <c r="D10" s="88">
        <f t="shared" si="19"/>
        <v>2859210</v>
      </c>
      <c r="E10" s="94"/>
      <c r="F10" s="95"/>
      <c r="G10" s="88"/>
      <c r="H10" s="88">
        <f t="shared" si="20"/>
        <v>1593460</v>
      </c>
      <c r="I10" s="91">
        <f t="shared" si="21"/>
        <v>-0.4426922122</v>
      </c>
      <c r="J10" s="96" t="str">
        <f>IF(I10&lt;0,"▲",IF(I10&gt;0, "▼", " "))</f>
        <v>▲</v>
      </c>
      <c r="K10" s="88"/>
      <c r="L10" s="88">
        <f t="shared" si="23"/>
        <v>1197210</v>
      </c>
      <c r="M10" s="89">
        <f t="shared" si="24"/>
        <v>-0.2486726997</v>
      </c>
      <c r="N10" s="96" t="str">
        <f>IF(M10&lt;0,"▲",IF(M10&gt;0, "▼", " "))</f>
        <v>▲</v>
      </c>
      <c r="O10" s="88"/>
      <c r="P10" s="88">
        <f t="shared" si="26"/>
        <v>2339210</v>
      </c>
      <c r="Q10" s="89">
        <f t="shared" si="27"/>
        <v>0.953884448</v>
      </c>
      <c r="R10" s="96" t="str">
        <f>IF(Q10&lt;0,"▲",IF(Q10&gt;0, "▼", " "))</f>
        <v>▼</v>
      </c>
      <c r="S10" s="88"/>
      <c r="T10" s="88">
        <f t="shared" si="29"/>
        <v>1114330</v>
      </c>
      <c r="U10" s="89">
        <f t="shared" si="30"/>
        <v>-0.5236297724</v>
      </c>
      <c r="V10" s="96" t="str">
        <f>IF(U10&lt;0,"▲",IF(U10&gt;0, "▼", " "))</f>
        <v>▲</v>
      </c>
      <c r="W10" s="88"/>
      <c r="X10" s="88">
        <f t="shared" si="32"/>
        <v>867330</v>
      </c>
      <c r="Y10" s="89">
        <f t="shared" si="33"/>
        <v>-0.2216578572</v>
      </c>
      <c r="Z10" s="96" t="str">
        <f>IF(Y10&lt;0,"▲",IF(Y10&gt;0, "▼", " "))</f>
        <v>▲</v>
      </c>
    </row>
    <row r="11">
      <c r="A11" s="70"/>
      <c r="B11" s="69"/>
      <c r="C11" s="97"/>
      <c r="D11" s="97"/>
      <c r="E11" s="94"/>
      <c r="F11" s="95"/>
      <c r="G11" s="97"/>
      <c r="H11" s="97"/>
      <c r="I11" s="98"/>
      <c r="J11" s="96"/>
      <c r="K11" s="97"/>
      <c r="L11" s="97"/>
      <c r="M11" s="94"/>
      <c r="N11" s="96"/>
      <c r="O11" s="97"/>
      <c r="P11" s="97"/>
      <c r="Q11" s="94"/>
      <c r="R11" s="96"/>
      <c r="S11" s="97"/>
      <c r="T11" s="97"/>
      <c r="U11" s="94"/>
      <c r="V11" s="96"/>
      <c r="W11" s="97"/>
      <c r="X11" s="97"/>
      <c r="Y11" s="94"/>
      <c r="Z11" s="96"/>
    </row>
    <row r="12">
      <c r="A12" s="70"/>
      <c r="B12" s="69"/>
      <c r="C12" s="97"/>
      <c r="D12" s="97"/>
      <c r="E12" s="94"/>
      <c r="F12" s="95"/>
      <c r="G12" s="97"/>
      <c r="H12" s="97"/>
      <c r="I12" s="98"/>
      <c r="J12" s="96"/>
      <c r="K12" s="97"/>
      <c r="L12" s="97"/>
      <c r="M12" s="94"/>
      <c r="N12" s="96"/>
      <c r="O12" s="97"/>
      <c r="P12" s="97"/>
      <c r="Q12" s="94"/>
      <c r="R12" s="96"/>
      <c r="S12" s="97"/>
      <c r="T12" s="97"/>
      <c r="U12" s="94"/>
      <c r="V12" s="96"/>
      <c r="W12" s="97"/>
      <c r="X12" s="97"/>
      <c r="Y12" s="94"/>
      <c r="Z12" s="96"/>
    </row>
    <row r="13">
      <c r="A13" s="70"/>
      <c r="B13" s="69"/>
      <c r="C13" s="97"/>
      <c r="D13" s="97"/>
      <c r="E13" s="94"/>
      <c r="F13" s="95"/>
      <c r="G13" s="97"/>
      <c r="H13" s="97"/>
      <c r="I13" s="98"/>
      <c r="J13" s="96"/>
      <c r="K13" s="97"/>
      <c r="L13" s="97"/>
      <c r="M13" s="94"/>
      <c r="N13" s="96"/>
      <c r="O13" s="97"/>
      <c r="P13" s="97"/>
      <c r="Q13" s="94"/>
      <c r="R13" s="96"/>
      <c r="S13" s="97"/>
      <c r="T13" s="97"/>
      <c r="U13" s="94"/>
      <c r="V13" s="96"/>
      <c r="W13" s="97"/>
      <c r="X13" s="97"/>
      <c r="Y13" s="94"/>
      <c r="Z13" s="96"/>
    </row>
    <row r="14">
      <c r="A14" s="70"/>
      <c r="B14" s="69"/>
      <c r="C14" s="97"/>
      <c r="D14" s="97"/>
      <c r="E14" s="94"/>
      <c r="F14" s="95"/>
      <c r="G14" s="97"/>
      <c r="H14" s="97"/>
      <c r="I14" s="98"/>
      <c r="J14" s="96"/>
      <c r="K14" s="97"/>
      <c r="L14" s="97"/>
      <c r="M14" s="94"/>
      <c r="N14" s="96"/>
      <c r="O14" s="97"/>
      <c r="P14" s="97"/>
      <c r="Q14" s="94"/>
      <c r="R14" s="96"/>
      <c r="S14" s="97"/>
      <c r="T14" s="97"/>
      <c r="U14" s="94"/>
      <c r="V14" s="96"/>
      <c r="W14" s="97"/>
      <c r="X14" s="97"/>
      <c r="Y14" s="94"/>
      <c r="Z14" s="96"/>
    </row>
    <row r="15" ht="25.5" customHeight="1">
      <c r="A15" s="80" t="s">
        <v>203</v>
      </c>
      <c r="B15" s="99"/>
      <c r="C15" s="82"/>
      <c r="D15" s="82"/>
      <c r="E15" s="100"/>
      <c r="F15" s="101"/>
      <c r="G15" s="82"/>
      <c r="H15" s="82"/>
      <c r="I15" s="102"/>
      <c r="J15" s="103"/>
      <c r="K15" s="82"/>
      <c r="L15" s="82"/>
      <c r="M15" s="100"/>
      <c r="N15" s="103"/>
      <c r="O15" s="82"/>
      <c r="P15" s="82"/>
      <c r="Q15" s="100"/>
      <c r="R15" s="103"/>
      <c r="S15" s="82"/>
      <c r="T15" s="82"/>
      <c r="U15" s="100"/>
      <c r="V15" s="103"/>
      <c r="W15" s="82"/>
      <c r="X15" s="82"/>
      <c r="Y15" s="100"/>
      <c r="Z15" s="103"/>
    </row>
    <row r="16">
      <c r="A16" s="104" t="s">
        <v>19</v>
      </c>
      <c r="B16" s="69"/>
      <c r="C16" s="105"/>
      <c r="D16" s="97"/>
      <c r="E16" s="94"/>
      <c r="F16" s="95"/>
      <c r="G16" s="105"/>
      <c r="H16" s="105"/>
      <c r="I16" s="106"/>
      <c r="J16" s="107"/>
      <c r="K16" s="105"/>
      <c r="L16" s="105"/>
      <c r="M16" s="108"/>
      <c r="N16" s="107"/>
      <c r="O16" s="105"/>
      <c r="P16" s="105"/>
      <c r="Q16" s="108"/>
      <c r="R16" s="107"/>
      <c r="S16" s="105"/>
      <c r="T16" s="105"/>
      <c r="U16" s="108"/>
      <c r="V16" s="107"/>
      <c r="W16" s="105"/>
      <c r="X16" s="105"/>
      <c r="Y16" s="108"/>
      <c r="Z16" s="107"/>
    </row>
    <row r="17">
      <c r="A17" s="86" t="s">
        <v>196</v>
      </c>
      <c r="B17" s="109" t="s">
        <v>197</v>
      </c>
      <c r="C17" s="105">
        <f>VLOOKUP($A16,Январь_2025_свод[#ALL],2,0)</f>
        <v>2330</v>
      </c>
      <c r="D17" s="105">
        <f>VLOOKUP($A16,Январь_2025_свод[#ALL],3,0)</f>
        <v>1845</v>
      </c>
      <c r="E17" s="89">
        <f t="shared" ref="E17:E18" si="35">D17/C17</f>
        <v>0.7918454936</v>
      </c>
      <c r="F17" s="90" t="str">
        <f>IFERROR(__xludf.DUMMYFUNCTION("IF(B17=""да"",
    IF(E17=1, SPARKLINE(E17, {""charttype"",""bar"";""max"",1;""color1"",""#6aa84f""}), SPARKLINE(E17, {""charttype"",""bar"";""max"",1;""color1"",""#e06666""})),
    IF(E17&lt;1, SPARKLINE(E17, {""charttype"",""bar"";""max"",1;""color1"",""#6"&amp;"aa84f""}), SPARKLINE(E17, {""charttype"",""bar"";""max"",1;""color1"",""#e06666""}))
)"),"")</f>
        <v/>
      </c>
      <c r="G17" s="105">
        <f>VLOOKUP($A$16,Февраль_2025_свод[#ALL],2,0)</f>
        <v>2330</v>
      </c>
      <c r="H17" s="105">
        <f>VLOOKUP($A$16,Февраль_2025_свод[#ALL],3,0)</f>
        <v>1895</v>
      </c>
      <c r="I17" s="91">
        <f t="shared" ref="I17:I18" si="36">H17/G17</f>
        <v>0.813304721</v>
      </c>
      <c r="J17" s="110" t="str">
        <f>IFERROR(__xludf.DUMMYFUNCTION("IF($B$17=""да"",
    IF(I17=1, SPARKLINE(I17, {""charttype"",""bar"";""max"",1;""color1"",""#6aa84f""}), SPARKLINE(I17, {""charttype"",""bar"";""max"",1;""color1"",""#e06666""})),
    IF(I17&lt;1, SPARKLINE(I17, {""charttype"",""bar"";""max"",1;""color1"","""&amp;"#6aa84f""}), SPARKLINE(I17, {""charttype"",""bar"";""max"",1;""color1"",""#e06666""}))
)"),"")</f>
        <v/>
      </c>
      <c r="K17" s="105">
        <f>VLOOKUP($A$16,Март_2025_свод[#ALL],2,0)</f>
        <v>2330</v>
      </c>
      <c r="L17" s="105">
        <f>VLOOKUP($A$16,Март_2025_свод[#ALL],3,0)</f>
        <v>1895</v>
      </c>
      <c r="M17" s="91">
        <f t="shared" ref="M17:M18" si="37">L17/K17</f>
        <v>0.813304721</v>
      </c>
      <c r="N17" s="110" t="str">
        <f>IFERROR(__xludf.DUMMYFUNCTION("IF($B$17=""да"",
    IF(M17=1, SPARKLINE(M17, {""charttype"",""bar"";""max"",1;""color1"",""#6aa84f""}), SPARKLINE(M17, {""charttype"",""bar"";""max"",1;""color1"",""#e06666""})),
    IF(M17&lt;1, SPARKLINE(M17, {""charttype"",""bar"";""max"",1;""color1"","""&amp;"#6aa84f""}), SPARKLINE(M17, {""charttype"",""bar"";""max"",1;""color1"",""#e06666""}))
)"),"")</f>
        <v/>
      </c>
      <c r="O17" s="105">
        <f>VLOOKUP($A16,Апрель_2025_свод[#ALL],2,0)</f>
        <v>2330</v>
      </c>
      <c r="P17" s="105">
        <f>VLOOKUP($A16,Апрель_2025_свод[#ALL],3,0)</f>
        <v>1895</v>
      </c>
      <c r="Q17" s="89">
        <f t="shared" ref="Q17:Q18" si="38">P17/O17</f>
        <v>0.813304721</v>
      </c>
      <c r="R17" s="110" t="str">
        <f>IFERROR(__xludf.DUMMYFUNCTION("IF($B$17=""да"",
    IF(Q17=1, SPARKLINE(Q17, {""charttype"",""bar"";""max"",1;""color1"",""#6aa84f""}), SPARKLINE(Q17, {""charttype"",""bar"";""max"",1;""color1"",""#e06666""})),
    IF(Q17&lt;1, SPARKLINE(Q17, {""charttype"",""bar"";""max"",1;""color1"","""&amp;"#6aa84f""}), SPARKLINE(Q17, {""charttype"",""bar"";""max"",1;""color1"",""#e06666""}))
)"),"")</f>
        <v/>
      </c>
      <c r="S17" s="105">
        <f>VLOOKUP($A16,Май_2025_свод[#ALL],2,0)</f>
        <v>2330</v>
      </c>
      <c r="T17" s="105">
        <f>VLOOKUP($A16,Май_2025_свод[#ALL],3,0)</f>
        <v>1895</v>
      </c>
      <c r="U17" s="89">
        <f t="shared" ref="U17:U18" si="39">T17/S17</f>
        <v>0.813304721</v>
      </c>
      <c r="V17" s="110" t="str">
        <f>IFERROR(__xludf.DUMMYFUNCTION("IF($B$17=""да"",
    IF(U17=1, SPARKLINE(U17, {""charttype"",""bar"";""max"",1;""color1"",""#6aa84f""}), SPARKLINE(U17, {""charttype"",""bar"";""max"",1;""color1"",""#e06666""})),
    IF(U17&lt;1, SPARKLINE(U17, {""charttype"",""bar"";""max"",1;""color1"","""&amp;"#6aa84f""}), SPARKLINE(U17, {""charttype"",""bar"";""max"",1;""color1"",""#e06666""}))
)"),"")</f>
        <v/>
      </c>
      <c r="W17" s="105">
        <f>VLOOKUP($A16,Июнь_2025_свод[#ALL],2,0)</f>
        <v>2330</v>
      </c>
      <c r="X17" s="105">
        <f>VLOOKUP($A16,Июнь_2025_свод[#ALL],3,0)</f>
        <v>2330</v>
      </c>
      <c r="Y17" s="89">
        <f t="shared" ref="Y17:Y18" si="40">X17/W17</f>
        <v>1</v>
      </c>
      <c r="Z17" s="110" t="str">
        <f>IFERROR(__xludf.DUMMYFUNCTION("IF($B$17=""да"",
    IF(Y17=1, SPARKLINE(Y17, {""charttype"",""bar"";""max"",1;""color1"",""#6aa84f""}), SPARKLINE(Y17, {""charttype"",""bar"";""max"",1;""color1"",""#e06666""})),
    IF(Y17&lt;1, SPARKLINE(Y17, {""charttype"",""bar"";""max"",1;""color1"","""&amp;"#6aa84f""}), SPARKLINE(Y17, {""charttype"",""bar"";""max"",1;""color1"",""#e06666""}))
)"),"")</f>
        <v/>
      </c>
    </row>
    <row r="18">
      <c r="A18" s="86" t="s">
        <v>198</v>
      </c>
      <c r="B18" s="109" t="s">
        <v>197</v>
      </c>
      <c r="C18" s="105">
        <f>VLOOKUP($A$16,Январь_2025_свод[#ALL],4,0)</f>
        <v>23</v>
      </c>
      <c r="D18" s="105">
        <f>VLOOKUP($A$16,Январь_2025_свод[#ALL],5,0)</f>
        <v>20</v>
      </c>
      <c r="E18" s="89">
        <f t="shared" si="35"/>
        <v>0.8695652174</v>
      </c>
      <c r="F18" s="90" t="str">
        <f>IFERROR(__xludf.DUMMYFUNCTION("IF(B18=""да"",
    IF(E18=1, SPARKLINE(E18, {""charttype"",""bar"";""max"",1;""color1"",""#6aa84f""}), SPARKLINE(E18, {""charttype"",""bar"";""max"",1;""color1"",""#e06666""})),
    IF(E18&lt;1, SPARKLINE(E18, {""charttype"",""bar"";""max"",1;""color1"",""#6"&amp;"aa84f""}), SPARKLINE(E18, {""charttype"",""bar"";""max"",1;""color1"",""#e06666""}))
)"),"")</f>
        <v/>
      </c>
      <c r="G18" s="105">
        <f>VLOOKUP($A$16,Февраль_2025_свод[#ALL],4,0)</f>
        <v>23</v>
      </c>
      <c r="H18" s="105">
        <f>VLOOKUP($A$16,Февраль_2025_свод[#ALL],5,0)</f>
        <v>21</v>
      </c>
      <c r="I18" s="91">
        <f t="shared" si="36"/>
        <v>0.9130434783</v>
      </c>
      <c r="J18" s="110" t="str">
        <f>IFERROR(__xludf.DUMMYFUNCTION("IF($B$18=""да"",
    IF(I18=1, SPARKLINE(I18, {""charttype"",""bar"";""max"",1;""color1"",""#6aa84f""}), SPARKLINE(I18, {""charttype"",""bar"";""max"",1;""color1"",""#e06666""})),
    IF(I18&lt;1, SPARKLINE(I18, {""charttype"",""bar"";""max"",1;""color1"","""&amp;"#6aa84f""}), SPARKLINE(I18, {""charttype"",""bar"";""max"",1;""color1"",""#e06666""}))
)"),"")</f>
        <v/>
      </c>
      <c r="K18" s="105">
        <f>VLOOKUP($A$16,Март_2025_свод[#ALL],4,0)</f>
        <v>23</v>
      </c>
      <c r="L18" s="105">
        <f>VLOOKUP($A$16,Март_2025_свод[#ALL],5,0)</f>
        <v>21</v>
      </c>
      <c r="M18" s="91">
        <f t="shared" si="37"/>
        <v>0.9130434783</v>
      </c>
      <c r="N18" s="110" t="str">
        <f>IFERROR(__xludf.DUMMYFUNCTION("IF($B$18=""да"",
    IF(M18=1, SPARKLINE(M18, {""charttype"",""bar"";""max"",1;""color1"",""#6aa84f""}), SPARKLINE(M18, {""charttype"",""bar"";""max"",1;""color1"",""#e06666""})),
    IF(M18&lt;1, SPARKLINE(M18, {""charttype"",""bar"";""max"",1;""color1"","""&amp;"#6aa84f""}), SPARKLINE(M18, {""charttype"",""bar"";""max"",1;""color1"",""#e06666""}))
)"),"")</f>
        <v/>
      </c>
      <c r="O18" s="105">
        <f>VLOOKUP($A$16,Март_2025_свод[#ALL],4,0)</f>
        <v>23</v>
      </c>
      <c r="P18" s="105">
        <f>VLOOKUP($A$16,Апрель_2025_свод[#ALL],5,0)</f>
        <v>21</v>
      </c>
      <c r="Q18" s="89">
        <f t="shared" si="38"/>
        <v>0.9130434783</v>
      </c>
      <c r="R18" s="110" t="str">
        <f>IFERROR(__xludf.DUMMYFUNCTION("IF($B$18=""да"",
    IF(Q18=1, SPARKLINE(Q18, {""charttype"",""bar"";""max"",1;""color1"",""#6aa84f""}), SPARKLINE(Q18, {""charttype"",""bar"";""max"",1;""color1"",""#e06666""})),
    IF(Q18&lt;1, SPARKLINE(Q18, {""charttype"",""bar"";""max"",1;""color1"","""&amp;"#6aa84f""}), SPARKLINE(Q18, {""charttype"",""bar"";""max"",1;""color1"",""#e06666""}))
)"),"")</f>
        <v/>
      </c>
      <c r="S18" s="105">
        <f>VLOOKUP($A$16,Май_2025_свод[#ALL],4,0)</f>
        <v>23</v>
      </c>
      <c r="T18" s="105">
        <f>VLOOKUP($A$16,Май_2025_свод[#ALL],5,0)</f>
        <v>21</v>
      </c>
      <c r="U18" s="89">
        <f t="shared" si="39"/>
        <v>0.9130434783</v>
      </c>
      <c r="V18" s="110" t="str">
        <f>IFERROR(__xludf.DUMMYFUNCTION("IF($B$18=""да"",
    IF(U18=1, SPARKLINE(U18, {""charttype"",""bar"";""max"",1;""color1"",""#6aa84f""}), SPARKLINE(U18, {""charttype"",""bar"";""max"",1;""color1"",""#e06666""})),
    IF(U18&lt;1, SPARKLINE(U18, {""charttype"",""bar"";""max"",1;""color1"","""&amp;"#6aa84f""}), SPARKLINE(U18, {""charttype"",""bar"";""max"",1;""color1"",""#e06666""}))
)"),"")</f>
        <v/>
      </c>
      <c r="W18" s="105">
        <f>VLOOKUP($A$16,Июнь_2025_свод[#ALL],4,0)</f>
        <v>23</v>
      </c>
      <c r="X18" s="105">
        <f>VLOOKUP($A$16,Июнь_2025_свод[#ALL],5,0)</f>
        <v>23</v>
      </c>
      <c r="Y18" s="89">
        <f t="shared" si="40"/>
        <v>1</v>
      </c>
      <c r="Z18" s="110" t="str">
        <f>IFERROR(__xludf.DUMMYFUNCTION("IF($B$18=""да"",
    IF(Y18=1, SPARKLINE(Y18, {""charttype"",""bar"";""max"",1;""color1"",""#6aa84f""}), SPARKLINE(Y18, {""charttype"",""bar"";""max"",1;""color1"",""#e06666""})),
    IF(Y18&lt;1, SPARKLINE(Y18, {""charttype"",""bar"";""max"",1;""color1"","""&amp;"#6aa84f""}), SPARKLINE(Y18, {""charttype"",""bar"";""max"",1;""color1"",""#e06666""}))
)"),"")</f>
        <v/>
      </c>
    </row>
    <row r="19">
      <c r="A19" s="86" t="s">
        <v>199</v>
      </c>
      <c r="B19" s="109" t="s">
        <v>197</v>
      </c>
      <c r="C19" s="105"/>
      <c r="D19" s="105">
        <f>VLOOKUP($A$16,Январь_2025_свод[#ALL],6,0)</f>
        <v>564</v>
      </c>
      <c r="E19" s="89"/>
      <c r="F19" s="90"/>
      <c r="G19" s="105"/>
      <c r="H19" s="105">
        <f>VLOOKUP($A$16,Февраль_2025_свод[#ALL],6,0)</f>
        <v>589</v>
      </c>
      <c r="I19" s="91">
        <f t="shared" ref="I19:I21" si="41">H19/D19-1</f>
        <v>0.04432624113</v>
      </c>
      <c r="J19" s="96" t="str">
        <f t="shared" ref="J19:J20" si="42">IF(I19&gt;0,"▲",IF(I19&lt;0, "▼", " "))</f>
        <v>▲</v>
      </c>
      <c r="K19" s="105"/>
      <c r="L19" s="105">
        <f>VLOOKUP($A$16,Март_2025_свод[#ALL],6,0)</f>
        <v>600</v>
      </c>
      <c r="M19" s="91">
        <f t="shared" ref="M19:M21" si="43">L19/H19-1</f>
        <v>0.01867572156</v>
      </c>
      <c r="N19" s="96" t="str">
        <f t="shared" ref="N19:N20" si="44">IF(M19&gt;0,"▲",IF(M19&lt;0, "▼", " "))</f>
        <v>▲</v>
      </c>
      <c r="O19" s="105"/>
      <c r="P19" s="105">
        <f>VLOOKUP($A$16,Апрель_2025_свод[#ALL],6,0)</f>
        <v>591</v>
      </c>
      <c r="Q19" s="89">
        <f t="shared" ref="Q19:Q21" si="45">P19/L19-1</f>
        <v>-0.015</v>
      </c>
      <c r="R19" s="96" t="str">
        <f t="shared" ref="R19:R20" si="46">IF(Q19&gt;0,"▲",IF(Q19&lt;0, "▼", " "))</f>
        <v>▼</v>
      </c>
      <c r="S19" s="105"/>
      <c r="T19" s="105">
        <f>VLOOKUP($A$16,Май_2025_свод[#ALL],6,0)</f>
        <v>651</v>
      </c>
      <c r="U19" s="89">
        <f t="shared" ref="U19:U21" si="47">T19/P19-1</f>
        <v>0.1015228426</v>
      </c>
      <c r="V19" s="96" t="str">
        <f t="shared" ref="V19:V20" si="48">IF(U19&gt;0,"▲",IF(U19&lt;0, "▼", " "))</f>
        <v>▲</v>
      </c>
      <c r="W19" s="105"/>
      <c r="X19" s="105">
        <f>VLOOKUP($A$16,Июнь_2025_свод[#ALL],6,0)</f>
        <v>848</v>
      </c>
      <c r="Y19" s="89">
        <f t="shared" ref="Y19:Y21" si="49">X19/T19-1</f>
        <v>0.3026113671</v>
      </c>
      <c r="Z19" s="96" t="str">
        <f t="shared" ref="Z19:Z20" si="50">IF(Y19&gt;0,"▲",IF(Y19&lt;0, "▼", " "))</f>
        <v>▲</v>
      </c>
    </row>
    <row r="20">
      <c r="A20" s="86" t="s">
        <v>200</v>
      </c>
      <c r="B20" s="109" t="s">
        <v>197</v>
      </c>
      <c r="C20" s="105"/>
      <c r="D20" s="105">
        <f>VLOOKUP($A$16,Январь_2025_свод[#ALL],7,0)</f>
        <v>26254000</v>
      </c>
      <c r="E20" s="89"/>
      <c r="F20" s="90"/>
      <c r="G20" s="105"/>
      <c r="H20" s="105">
        <f>VLOOKUP($A$16,Февраль_2025_свод[#ALL],7,0)</f>
        <v>25604000</v>
      </c>
      <c r="I20" s="91">
        <f t="shared" si="41"/>
        <v>-0.02475813209</v>
      </c>
      <c r="J20" s="96" t="str">
        <f t="shared" si="42"/>
        <v>▼</v>
      </c>
      <c r="K20" s="105"/>
      <c r="L20" s="105">
        <f>VLOOKUP($A$16,Март_2025_свод[#ALL],7,0)</f>
        <v>27999000</v>
      </c>
      <c r="M20" s="91">
        <f t="shared" si="43"/>
        <v>0.09354007186</v>
      </c>
      <c r="N20" s="96" t="str">
        <f t="shared" si="44"/>
        <v>▲</v>
      </c>
      <c r="O20" s="105"/>
      <c r="P20" s="105">
        <f>VLOOKUP($A$16,Апрель_2025_свод[#ALL],7,0)</f>
        <v>26034000</v>
      </c>
      <c r="Q20" s="89">
        <f t="shared" si="45"/>
        <v>-0.0701810779</v>
      </c>
      <c r="R20" s="96" t="str">
        <f t="shared" si="46"/>
        <v>▼</v>
      </c>
      <c r="S20" s="105"/>
      <c r="T20" s="105">
        <f>VLOOKUP($A$16,Май_2025_свод[#ALL],7,0)</f>
        <v>28024000</v>
      </c>
      <c r="U20" s="89">
        <f t="shared" si="47"/>
        <v>0.0764385035</v>
      </c>
      <c r="V20" s="96" t="str">
        <f t="shared" si="48"/>
        <v>▲</v>
      </c>
      <c r="W20" s="105"/>
      <c r="X20" s="105">
        <f>VLOOKUP($A$16,Июнь_2025_свод[#ALL],7,0)</f>
        <v>29524000</v>
      </c>
      <c r="Y20" s="89">
        <f t="shared" si="49"/>
        <v>0.05352554953</v>
      </c>
      <c r="Z20" s="96" t="str">
        <f t="shared" si="50"/>
        <v>▲</v>
      </c>
    </row>
    <row r="21">
      <c r="A21" s="86" t="s">
        <v>201</v>
      </c>
      <c r="B21" s="109" t="s">
        <v>202</v>
      </c>
      <c r="C21" s="105"/>
      <c r="D21" s="105">
        <f>VLOOKUP($A$16,Январь_2025_свод[#ALL],8,0)</f>
        <v>511900</v>
      </c>
      <c r="E21" s="89"/>
      <c r="F21" s="90"/>
      <c r="G21" s="105"/>
      <c r="H21" s="105">
        <f>VLOOKUP($A$16,Февраль_2025_свод[#ALL],8,0)</f>
        <v>165000</v>
      </c>
      <c r="I21" s="91">
        <f t="shared" si="41"/>
        <v>-0.6776714202</v>
      </c>
      <c r="J21" s="96" t="str">
        <f>IF(I21&lt;0,"▲",IF(I21&gt;0, "▼", " "))</f>
        <v>▲</v>
      </c>
      <c r="K21" s="105"/>
      <c r="L21" s="105">
        <f>VLOOKUP($A$16,Март_2025_свод[#ALL],8,0)</f>
        <v>511900</v>
      </c>
      <c r="M21" s="91">
        <f t="shared" si="43"/>
        <v>2.102424242</v>
      </c>
      <c r="N21" s="96" t="str">
        <f>IF(M21&lt;0,"▲",IF(M21&gt;0, "▼", " "))</f>
        <v>▼</v>
      </c>
      <c r="O21" s="105"/>
      <c r="P21" s="105">
        <f>VLOOKUP($A$16,Апрель_2025_свод[#ALL],8,0)</f>
        <v>511900</v>
      </c>
      <c r="Q21" s="111">
        <f t="shared" si="45"/>
        <v>0</v>
      </c>
      <c r="R21" s="96" t="str">
        <f>IF(Q21&lt;0,"▲",IF(Q21&gt;0, "▼", " "))</f>
        <v> </v>
      </c>
      <c r="S21" s="105"/>
      <c r="T21" s="105">
        <f>VLOOKUP($A$16,Май_2025_свод[#ALL],8,0)</f>
        <v>206900</v>
      </c>
      <c r="U21" s="89">
        <f t="shared" si="47"/>
        <v>-0.595819496</v>
      </c>
      <c r="V21" s="96" t="str">
        <f>IF(U21&lt;0,"▲",IF(U21&gt;0, "▼", " "))</f>
        <v>▲</v>
      </c>
      <c r="W21" s="105"/>
      <c r="X21" s="105">
        <f>VLOOKUP($A$16,Июнь_2025_свод[#ALL],8,0)</f>
        <v>242400</v>
      </c>
      <c r="Y21" s="89">
        <f t="shared" si="49"/>
        <v>0.1715804737</v>
      </c>
      <c r="Z21" s="96" t="str">
        <f>IF(Y21&lt;0,"▲",IF(Y21&gt;0, "▼", " "))</f>
        <v>▼</v>
      </c>
    </row>
    <row r="22">
      <c r="A22" s="86"/>
      <c r="B22" s="109"/>
      <c r="C22" s="105"/>
      <c r="D22" s="105"/>
      <c r="E22" s="89"/>
      <c r="F22" s="90"/>
      <c r="G22" s="105"/>
      <c r="H22" s="105"/>
      <c r="I22" s="112"/>
      <c r="J22" s="113"/>
      <c r="K22" s="105"/>
      <c r="L22" s="105"/>
      <c r="M22" s="111"/>
      <c r="N22" s="113"/>
      <c r="O22" s="105"/>
      <c r="P22" s="105"/>
      <c r="Q22" s="111"/>
      <c r="R22" s="113"/>
      <c r="S22" s="105"/>
      <c r="T22" s="105"/>
      <c r="U22" s="111"/>
      <c r="V22" s="113"/>
      <c r="W22" s="105"/>
      <c r="X22" s="105"/>
      <c r="Y22" s="111"/>
      <c r="Z22" s="113"/>
    </row>
    <row r="23">
      <c r="A23" s="86"/>
      <c r="B23" s="69"/>
      <c r="C23" s="114"/>
      <c r="D23" s="97"/>
      <c r="E23" s="94"/>
      <c r="F23" s="95"/>
      <c r="G23" s="114"/>
      <c r="H23" s="114"/>
      <c r="I23" s="115"/>
      <c r="J23" s="116"/>
      <c r="K23" s="114"/>
      <c r="L23" s="114"/>
      <c r="M23" s="117"/>
      <c r="N23" s="116"/>
      <c r="O23" s="114"/>
      <c r="P23" s="114"/>
      <c r="Q23" s="117"/>
      <c r="R23" s="116"/>
      <c r="S23" s="114"/>
      <c r="T23" s="114"/>
      <c r="U23" s="117"/>
      <c r="V23" s="116"/>
      <c r="W23" s="114"/>
      <c r="X23" s="114"/>
      <c r="Y23" s="117"/>
      <c r="Z23" s="116"/>
    </row>
    <row r="24">
      <c r="A24" s="104" t="s">
        <v>9</v>
      </c>
      <c r="B24" s="69"/>
      <c r="C24" s="105"/>
      <c r="D24" s="97"/>
      <c r="E24" s="94"/>
      <c r="F24" s="95"/>
      <c r="G24" s="105"/>
      <c r="H24" s="105"/>
      <c r="I24" s="106"/>
      <c r="J24" s="107"/>
      <c r="K24" s="105"/>
      <c r="L24" s="105"/>
      <c r="M24" s="108"/>
      <c r="N24" s="107"/>
      <c r="O24" s="105"/>
      <c r="P24" s="105"/>
      <c r="Q24" s="108"/>
      <c r="R24" s="107"/>
      <c r="S24" s="105"/>
      <c r="T24" s="105"/>
      <c r="U24" s="108"/>
      <c r="V24" s="107"/>
      <c r="W24" s="105"/>
      <c r="X24" s="105"/>
      <c r="Y24" s="108"/>
      <c r="Z24" s="107"/>
    </row>
    <row r="25">
      <c r="A25" s="86" t="s">
        <v>196</v>
      </c>
      <c r="B25" s="109" t="s">
        <v>197</v>
      </c>
      <c r="C25" s="105">
        <f>VLOOKUP($A$24,Январь_2025_свод[#ALL],2,0)</f>
        <v>2176</v>
      </c>
      <c r="D25" s="105">
        <f>VLOOKUP($A$24,Январь_2025_свод[#ALL],3,0)</f>
        <v>2176</v>
      </c>
      <c r="E25" s="89">
        <f t="shared" ref="E25:E26" si="51">D25/C25</f>
        <v>1</v>
      </c>
      <c r="F25" s="90" t="str">
        <f>IFERROR(__xludf.DUMMYFUNCTION("IF(B25=""да"",
    IF(E25=1, SPARKLINE(E25, {""charttype"",""bar"";""max"",1;""color1"",""#6aa84f""}), SPARKLINE(E25, {""charttype"",""bar"";""max"",1;""color1"",""#e06666""})),
    IF(E25&lt;1, SPARKLINE(E25, {""charttype"",""bar"";""max"",1;""color1"",""#6"&amp;"aa84f""}), SPARKLINE(E25, {""charttype"",""bar"";""max"",1;""color1"",""#e06666""}))
)"),"")</f>
        <v/>
      </c>
      <c r="G25" s="105">
        <f>VLOOKUP($A$24,Февраль_2025_свод[#ALL],2,0)</f>
        <v>2176</v>
      </c>
      <c r="H25" s="105">
        <f>VLOOKUP($A$24,Февраль_2025_свод[#ALL],3,0)</f>
        <v>2176</v>
      </c>
      <c r="I25" s="91">
        <f t="shared" ref="I25:I26" si="52">H25/G25</f>
        <v>1</v>
      </c>
      <c r="J25" s="110" t="str">
        <f>IFERROR(__xludf.DUMMYFUNCTION("IF($B$25=""да"",
    IF(I25=1, SPARKLINE(I25, {""charttype"",""bar"";""max"",1;""color1"",""#6aa84f""}), SPARKLINE(I25, {""charttype"",""bar"";""max"",1;""color1"",""#e06666""})),
    IF(I25&lt;1, SPARKLINE(I25, {""charttype"",""bar"";""max"",1;""color1"","""&amp;"#6aa84f""}), SPARKLINE(I25, {""charttype"",""bar"";""max"",1;""color1"",""#e06666""}))
)"),"")</f>
        <v/>
      </c>
      <c r="K25" s="105">
        <f>VLOOKUP($A$24,Март_2025_свод[#ALL],2,0)</f>
        <v>2176</v>
      </c>
      <c r="L25" s="105">
        <f>VLOOKUP($A$24,Март_2025_свод[#ALL],3,0)</f>
        <v>2176</v>
      </c>
      <c r="M25" s="89">
        <f t="shared" ref="M25:M26" si="53">L25/K25</f>
        <v>1</v>
      </c>
      <c r="N25" s="110" t="str">
        <f>IFERROR(__xludf.DUMMYFUNCTION("IF($B$25=""да"",
    IF(M25=1, SPARKLINE(M25, {""charttype"",""bar"";""max"",1;""color1"",""#6aa84f""}), SPARKLINE(M25, {""charttype"",""bar"";""max"",1;""color1"",""#e06666""})),
    IF(M25&lt;1, SPARKLINE(M25, {""charttype"",""bar"";""max"",1;""color1"","""&amp;"#6aa84f""}), SPARKLINE(M25, {""charttype"",""bar"";""max"",1;""color1"",""#e06666""}))
)"),"")</f>
        <v/>
      </c>
      <c r="O25" s="118">
        <f>VLOOKUP($A$24,'Апрель_2025'!$A$90:$I$94,2,0)</f>
        <v>2176</v>
      </c>
      <c r="P25" s="118">
        <f>VLOOKUP($A$24,'Апрель_2025'!$A$90:$I$94,3,0)</f>
        <v>2176</v>
      </c>
      <c r="Q25" s="119">
        <f t="shared" ref="Q25:Q26" si="54">P25/O25</f>
        <v>1</v>
      </c>
      <c r="R25" s="120" t="str">
        <f>IFERROR(__xludf.DUMMYFUNCTION("IF($B$25=""да"",
    IF(Q25=1, SPARKLINE(Q25, {""charttype"",""bar"";""max"",1;""color1"",""#6aa84f""}), SPARKLINE(Q25, {""charttype"",""bar"";""max"",1;""color1"",""#e06666""})),
    IF(Q25&lt;1, SPARKLINE(Q25, {""charttype"",""bar"";""max"",1;""color1"","""&amp;"#6aa84f""}), SPARKLINE(Q25, {""charttype"",""bar"";""max"",1;""color1"",""#e06666""}))
)"),"")</f>
        <v/>
      </c>
      <c r="S25" s="118">
        <f>VLOOKUP($A$24,'Май_2025'!$A$90:$I$94,2,0)</f>
        <v>2176</v>
      </c>
      <c r="T25" s="118">
        <f>VLOOKUP($A$24,'Май_2025'!$A$90:$I$94,3,0)</f>
        <v>2176</v>
      </c>
      <c r="U25" s="119">
        <f t="shared" ref="U25:U26" si="55">T25/S25</f>
        <v>1</v>
      </c>
      <c r="V25" s="120" t="str">
        <f>IFERROR(__xludf.DUMMYFUNCTION("IF($B$25=""да"",
    IF(U25=1, SPARKLINE(U25, {""charttype"",""bar"";""max"",1;""color1"",""#6aa84f""}), SPARKLINE(U25, {""charttype"",""bar"";""max"",1;""color1"",""#e06666""})),
    IF(U25&lt;1, SPARKLINE(U25, {""charttype"",""bar"";""max"",1;""color1"","""&amp;"#6aa84f""}), SPARKLINE(U25, {""charttype"",""bar"";""max"",1;""color1"",""#e06666""}))
)"),"")</f>
        <v/>
      </c>
      <c r="W25" s="118">
        <f>VLOOKUP($A$24,'Июнь_2025'!$A$90:$I$94,2,0)</f>
        <v>2176</v>
      </c>
      <c r="X25" s="118">
        <f>VLOOKUP($A$24,'Июнь_2025'!$A$90:$I$94,3,0)</f>
        <v>2176</v>
      </c>
      <c r="Y25" s="119">
        <f t="shared" ref="Y25:Y26" si="56">X25/W25</f>
        <v>1</v>
      </c>
      <c r="Z25" s="120" t="str">
        <f>IFERROR(__xludf.DUMMYFUNCTION("IF($B$25=""да"",
    IF(Y25=1, SPARKLINE(Y25, {""charttype"",""bar"";""max"",1;""color1"",""#6aa84f""}), SPARKLINE(Y25, {""charttype"",""bar"";""max"",1;""color1"",""#e06666""})),
    IF(Y25&lt;1, SPARKLINE(Y25, {""charttype"",""bar"";""max"",1;""color1"","""&amp;"#6aa84f""}), SPARKLINE(Y25, {""charttype"",""bar"";""max"",1;""color1"",""#e06666""}))
)"),"")</f>
        <v/>
      </c>
    </row>
    <row r="26">
      <c r="A26" s="86" t="s">
        <v>198</v>
      </c>
      <c r="B26" s="109" t="s">
        <v>197</v>
      </c>
      <c r="C26" s="105">
        <f>VLOOKUP(A24,Январь_2025_свод[#ALL],4,0)</f>
        <v>18</v>
      </c>
      <c r="D26" s="105">
        <f>VLOOKUP(A24,Январь_2025_свод[#ALL],5,0)</f>
        <v>18</v>
      </c>
      <c r="E26" s="89">
        <f t="shared" si="51"/>
        <v>1</v>
      </c>
      <c r="F26" s="90" t="str">
        <f>IFERROR(__xludf.DUMMYFUNCTION("IF(B26=""да"",
    IF(E26=1, SPARKLINE(E26, {""charttype"",""bar"";""max"",1;""color1"",""#6aa84f""}), SPARKLINE(E26, {""charttype"",""bar"";""max"",1;""color1"",""#e06666""})),
    IF(E26&lt;1, SPARKLINE(E26, {""charttype"",""bar"";""max"",1;""color1"",""#6"&amp;"aa84f""}), SPARKLINE(E26, {""charttype"",""bar"";""max"",1;""color1"",""#e06666""}))
)"),"")</f>
        <v/>
      </c>
      <c r="G26" s="105">
        <f>VLOOKUP($A$24,Февраль_2025_свод[#ALL],4,0)</f>
        <v>18</v>
      </c>
      <c r="H26" s="105">
        <f>VLOOKUP($A$24,Февраль_2025_свод[#ALL],5,0)</f>
        <v>18</v>
      </c>
      <c r="I26" s="91">
        <f t="shared" si="52"/>
        <v>1</v>
      </c>
      <c r="J26" s="110" t="str">
        <f>IFERROR(__xludf.DUMMYFUNCTION("IF($B$26=""да"",
    IF(I26=1, SPARKLINE(I26, {""charttype"",""bar"";""max"",1;""color1"",""#6aa84f""}), SPARKLINE(I26, {""charttype"",""bar"";""max"",1;""color1"",""#e06666""})),
    IF(I26&lt;1, SPARKLINE(I26, {""charttype"",""bar"";""max"",1;""color1"","""&amp;"#6aa84f""}), SPARKLINE(I26, {""charttype"",""bar"";""max"",1;""color1"",""#e06666""}))
)"),"")</f>
        <v/>
      </c>
      <c r="K26" s="105">
        <f>VLOOKUP($A$24,Март_2025_свод[#ALL],4,0)</f>
        <v>18</v>
      </c>
      <c r="L26" s="105">
        <f>VLOOKUP($A$24,Март_2025_свод[#ALL],5,0)</f>
        <v>18</v>
      </c>
      <c r="M26" s="89">
        <f t="shared" si="53"/>
        <v>1</v>
      </c>
      <c r="N26" s="110" t="str">
        <f>IFERROR(__xludf.DUMMYFUNCTION("IF($B$26=""да"",
    IF(M26=1, SPARKLINE(M26, {""charttype"",""bar"";""max"",1;""color1"",""#6aa84f""}), SPARKLINE(M26, {""charttype"",""bar"";""max"",1;""color1"",""#e06666""})),
    IF(M26&lt;1, SPARKLINE(M26, {""charttype"",""bar"";""max"",1;""color1"","""&amp;"#6aa84f""}), SPARKLINE(M26, {""charttype"",""bar"";""max"",1;""color1"",""#e06666""}))
)"),"")</f>
        <v/>
      </c>
      <c r="O26" s="118">
        <f>VLOOKUP($A$24,'Апрель_2025'!$A$90:$I$94,4,0)</f>
        <v>18</v>
      </c>
      <c r="P26" s="118">
        <f>VLOOKUP($A$24,'Апрель_2025'!$A$90:$I$94,5,0)</f>
        <v>18</v>
      </c>
      <c r="Q26" s="119">
        <f t="shared" si="54"/>
        <v>1</v>
      </c>
      <c r="R26" s="120" t="str">
        <f>IFERROR(__xludf.DUMMYFUNCTION("IF($B$26=""да"",
    IF(Q26=1, SPARKLINE(Q26, {""charttype"",""bar"";""max"",1;""color1"",""#6aa84f""}), SPARKLINE(Q26, {""charttype"",""bar"";""max"",1;""color1"",""#e06666""})),
    IF(Q26&lt;1, SPARKLINE(Q26, {""charttype"",""bar"";""max"",1;""color1"","""&amp;"#6aa84f""}), SPARKLINE(Q26, {""charttype"",""bar"";""max"",1;""color1"",""#e06666""}))
)"),"")</f>
        <v/>
      </c>
      <c r="S26" s="118">
        <f>VLOOKUP($A$24,'Май_2025'!$A$90:$I$94,4,0)</f>
        <v>18</v>
      </c>
      <c r="T26" s="118">
        <f>VLOOKUP($A$24,'Май_2025'!$A$90:$I$94,5,0)</f>
        <v>18</v>
      </c>
      <c r="U26" s="119">
        <f t="shared" si="55"/>
        <v>1</v>
      </c>
      <c r="V26" s="120" t="str">
        <f>IFERROR(__xludf.DUMMYFUNCTION("IF($B$26=""да"",
    IF(U26=1, SPARKLINE(U26, {""charttype"",""bar"";""max"",1;""color1"",""#6aa84f""}), SPARKLINE(U26, {""charttype"",""bar"";""max"",1;""color1"",""#e06666""})),
    IF(U26&lt;1, SPARKLINE(U26, {""charttype"",""bar"";""max"",1;""color1"","""&amp;"#6aa84f""}), SPARKLINE(U26, {""charttype"",""bar"";""max"",1;""color1"",""#e06666""}))
)"),"")</f>
        <v/>
      </c>
      <c r="W26" s="118">
        <f>VLOOKUP($A$24,'Июнь_2025'!$A$90:$I$94,4,0)</f>
        <v>18</v>
      </c>
      <c r="X26" s="118">
        <f>VLOOKUP($A$24,'Июнь_2025'!$A$90:$I$94,5,0)</f>
        <v>18</v>
      </c>
      <c r="Y26" s="119">
        <f t="shared" si="56"/>
        <v>1</v>
      </c>
      <c r="Z26" s="120" t="str">
        <f>IFERROR(__xludf.DUMMYFUNCTION("IF($B$26=""да"",
    IF(Y26=1, SPARKLINE(Y26, {""charttype"",""bar"";""max"",1;""color1"",""#6aa84f""}), SPARKLINE(Y26, {""charttype"",""bar"";""max"",1;""color1"",""#e06666""})),
    IF(Y26&lt;1, SPARKLINE(Y26, {""charttype"",""bar"";""max"",1;""color1"","""&amp;"#6aa84f""}), SPARKLINE(Y26, {""charttype"",""bar"";""max"",1;""color1"",""#e06666""}))
)"),"")</f>
        <v/>
      </c>
    </row>
    <row r="27">
      <c r="A27" s="86" t="s">
        <v>199</v>
      </c>
      <c r="B27" s="109" t="s">
        <v>197</v>
      </c>
      <c r="C27" s="105"/>
      <c r="D27" s="105">
        <f>VLOOKUP($A$24,Январь_2025_свод[#ALL],6,0)</f>
        <v>568</v>
      </c>
      <c r="E27" s="89"/>
      <c r="F27" s="90"/>
      <c r="G27" s="105"/>
      <c r="H27" s="105">
        <f>VLOOKUP($A$24,Февраль_2025_свод[#ALL],6,0)</f>
        <v>523</v>
      </c>
      <c r="I27" s="91">
        <f t="shared" ref="I27:I29" si="57">H27/D27-1</f>
        <v>-0.07922535211</v>
      </c>
      <c r="J27" s="96" t="str">
        <f t="shared" ref="J27:J28" si="58">IF(I27&gt;0,"▲",IF(I27&lt;0, "▼", " "))</f>
        <v>▼</v>
      </c>
      <c r="K27" s="105"/>
      <c r="L27" s="105">
        <f>VLOOKUP($A$24,Март_2025_свод[#ALL],6,0)</f>
        <v>580</v>
      </c>
      <c r="M27" s="111">
        <f t="shared" ref="M27:M28" si="59">L27/H27-1</f>
        <v>0.1089866157</v>
      </c>
      <c r="N27" s="96" t="str">
        <f t="shared" ref="N27:N28" si="60">IF(M27&gt;0,"▲",IF(M27&lt;0, "▼", " "))</f>
        <v>▲</v>
      </c>
      <c r="O27" s="121"/>
      <c r="P27" s="118">
        <f>VLOOKUP($A$24,'Апрель_2025'!$A$90:$I$94,6,0)</f>
        <v>545</v>
      </c>
      <c r="Q27" s="122">
        <f t="shared" ref="Q27:Q29" si="61">P27/L27-1</f>
        <v>-0.06034482759</v>
      </c>
      <c r="R27" s="96" t="str">
        <f t="shared" ref="R27:R28" si="62">IF(Q27&gt;0,"▲",IF(Q27&lt;0, "▼", " "))</f>
        <v>▼</v>
      </c>
      <c r="S27" s="121"/>
      <c r="T27" s="118">
        <f>VLOOKUP($A$24,'Май_2025'!$A$90:$I$94,6,0)</f>
        <v>603</v>
      </c>
      <c r="U27" s="89">
        <f t="shared" ref="U27:U29" si="63">T27/P27-1</f>
        <v>0.1064220183</v>
      </c>
      <c r="V27" s="96" t="str">
        <f t="shared" ref="V27:V28" si="64">IF(U27&gt;0,"▲",IF(U27&lt;0, "▼", " "))</f>
        <v>▲</v>
      </c>
      <c r="W27" s="121"/>
      <c r="X27" s="118">
        <f>VLOOKUP($A$24,'Июнь_2025'!$A$90:$I$94,6,0)</f>
        <v>570</v>
      </c>
      <c r="Y27" s="89">
        <f t="shared" ref="Y27:Y29" si="65">X27/T27-1</f>
        <v>-0.05472636816</v>
      </c>
      <c r="Z27" s="96" t="str">
        <f t="shared" ref="Z27:Z28" si="66">IF(Y27&gt;0,"▲",IF(Y27&lt;0, "▼", " "))</f>
        <v>▼</v>
      </c>
    </row>
    <row r="28">
      <c r="A28" s="86" t="s">
        <v>200</v>
      </c>
      <c r="B28" s="109" t="s">
        <v>197</v>
      </c>
      <c r="C28" s="105"/>
      <c r="D28" s="105">
        <f>VLOOKUP($A$24,Январь_2025_свод[#ALL],7,0)</f>
        <v>41753500</v>
      </c>
      <c r="E28" s="89"/>
      <c r="F28" s="90"/>
      <c r="G28" s="105"/>
      <c r="H28" s="105">
        <f>VLOOKUP($A$24,Февраль_2025_свод[#ALL],7,0)</f>
        <v>36135000</v>
      </c>
      <c r="I28" s="91">
        <f t="shared" si="57"/>
        <v>-0.1345635695</v>
      </c>
      <c r="J28" s="96" t="str">
        <f t="shared" si="58"/>
        <v>▼</v>
      </c>
      <c r="K28" s="105"/>
      <c r="L28" s="105">
        <f>VLOOKUP($A$24,Март_2025_свод[#ALL],7,0)</f>
        <v>40708500</v>
      </c>
      <c r="M28" s="111">
        <f t="shared" si="59"/>
        <v>0.1265670403</v>
      </c>
      <c r="N28" s="96" t="str">
        <f t="shared" si="60"/>
        <v>▲</v>
      </c>
      <c r="O28" s="121"/>
      <c r="P28" s="118">
        <f>VLOOKUP($A$24,'Апрель_2025'!$A$90:$I$94,7,0)</f>
        <v>40873500</v>
      </c>
      <c r="Q28" s="122">
        <f t="shared" si="61"/>
        <v>0.004053207561</v>
      </c>
      <c r="R28" s="96" t="str">
        <f t="shared" si="62"/>
        <v>▲</v>
      </c>
      <c r="S28" s="121"/>
      <c r="T28" s="118">
        <f>VLOOKUP($A$24,'Май_2025'!$A$90:$I$94,7,0)</f>
        <v>40197000</v>
      </c>
      <c r="U28" s="89">
        <f t="shared" si="63"/>
        <v>-0.01655106609</v>
      </c>
      <c r="V28" s="96" t="str">
        <f t="shared" si="64"/>
        <v>▼</v>
      </c>
      <c r="W28" s="121"/>
      <c r="X28" s="118">
        <f>VLOOKUP($A$24,'Июнь_2025'!$A$90:$I$94,7,0)</f>
        <v>38683500</v>
      </c>
      <c r="Y28" s="89">
        <f t="shared" si="65"/>
        <v>-0.03765206359</v>
      </c>
      <c r="Z28" s="96" t="str">
        <f t="shared" si="66"/>
        <v>▼</v>
      </c>
    </row>
    <row r="29">
      <c r="A29" s="86" t="s">
        <v>201</v>
      </c>
      <c r="B29" s="109" t="s">
        <v>202</v>
      </c>
      <c r="C29" s="105"/>
      <c r="D29" s="105">
        <f>VLOOKUP($A$24,Январь_2025_свод[#ALL],8,0)</f>
        <v>684670</v>
      </c>
      <c r="E29" s="89"/>
      <c r="F29" s="90"/>
      <c r="G29" s="105"/>
      <c r="H29" s="105">
        <f>VLOOKUP($A$24,Февраль_2025_свод[#ALL],8,0)</f>
        <v>248000</v>
      </c>
      <c r="I29" s="91">
        <f t="shared" si="57"/>
        <v>-0.6377817051</v>
      </c>
      <c r="J29" s="96" t="str">
        <f>IF(I29&lt;0,"▲",IF(I29&gt;0, "▼", " "))</f>
        <v>▲</v>
      </c>
      <c r="K29" s="105"/>
      <c r="L29" s="105">
        <f>VLOOKUP($A$24,Март_2025_свод[#ALL],8,0)</f>
        <v>194670</v>
      </c>
      <c r="M29" s="111">
        <v>-0.01</v>
      </c>
      <c r="N29" s="96" t="str">
        <f>IF(M29&lt;0,"▲",IF(M29&gt;0, "▼", " "))</f>
        <v>▲</v>
      </c>
      <c r="O29" s="121"/>
      <c r="P29" s="118">
        <f>VLOOKUP($A$24,'Апрель_2025'!$A$90:$I$94,8,0)</f>
        <v>659670</v>
      </c>
      <c r="Q29" s="122">
        <f t="shared" si="61"/>
        <v>2.388657728</v>
      </c>
      <c r="R29" s="96" t="str">
        <f>IF(Q29&lt;0,"▲",IF(Q29&gt;0, "▼", " "))</f>
        <v>▼</v>
      </c>
      <c r="S29" s="121"/>
      <c r="T29" s="118">
        <f>VLOOKUP($A$24,'Май_2025'!$A$90:$I$94,8,0)</f>
        <v>303670</v>
      </c>
      <c r="U29" s="89">
        <f t="shared" si="63"/>
        <v>-0.5396637713</v>
      </c>
      <c r="V29" s="96" t="str">
        <f>IF(U29&lt;0,"▲",IF(U29&gt;0, "▼", " "))</f>
        <v>▲</v>
      </c>
      <c r="W29" s="121"/>
      <c r="X29" s="118">
        <f>VLOOKUP($A$24,'Июнь_2025'!$A$90:$I$94,8,0)</f>
        <v>204670</v>
      </c>
      <c r="Y29" s="89">
        <f t="shared" si="65"/>
        <v>-0.3260117891</v>
      </c>
      <c r="Z29" s="96" t="str">
        <f>IF(Y29&lt;0,"▲",IF(Y29&gt;0, "▼", " "))</f>
        <v>▲</v>
      </c>
    </row>
    <row r="30">
      <c r="A30" s="70"/>
      <c r="B30" s="69"/>
      <c r="C30" s="97"/>
      <c r="D30" s="97"/>
      <c r="E30" s="94"/>
      <c r="F30" s="95"/>
      <c r="G30" s="97"/>
      <c r="H30" s="114"/>
      <c r="I30" s="115"/>
      <c r="J30" s="116"/>
      <c r="K30" s="97"/>
      <c r="L30" s="114"/>
      <c r="M30" s="117"/>
      <c r="N30" s="116"/>
      <c r="O30" s="121"/>
      <c r="P30" s="121"/>
      <c r="Q30" s="123"/>
      <c r="R30" s="124"/>
      <c r="S30" s="121"/>
      <c r="T30" s="121"/>
      <c r="U30" s="123"/>
      <c r="V30" s="124"/>
      <c r="W30" s="121"/>
      <c r="X30" s="121"/>
      <c r="Y30" s="123"/>
      <c r="Z30" s="124"/>
    </row>
    <row r="31">
      <c r="A31" s="70"/>
      <c r="B31" s="69"/>
      <c r="C31" s="97"/>
      <c r="D31" s="97"/>
      <c r="E31" s="94"/>
      <c r="F31" s="95"/>
      <c r="G31" s="97"/>
      <c r="H31" s="114"/>
      <c r="I31" s="115"/>
      <c r="J31" s="116"/>
      <c r="K31" s="97"/>
      <c r="L31" s="114"/>
      <c r="M31" s="117"/>
      <c r="N31" s="116"/>
      <c r="O31" s="121"/>
      <c r="P31" s="121"/>
      <c r="Q31" s="123"/>
      <c r="R31" s="124"/>
      <c r="S31" s="121"/>
      <c r="T31" s="121"/>
      <c r="U31" s="123"/>
      <c r="V31" s="124"/>
      <c r="W31" s="121"/>
      <c r="X31" s="121"/>
      <c r="Y31" s="123"/>
      <c r="Z31" s="124"/>
    </row>
    <row r="32">
      <c r="A32" s="104" t="s">
        <v>13</v>
      </c>
      <c r="B32" s="69"/>
      <c r="C32" s="105"/>
      <c r="D32" s="97"/>
      <c r="E32" s="94"/>
      <c r="F32" s="95"/>
      <c r="G32" s="105"/>
      <c r="H32" s="105"/>
      <c r="I32" s="106"/>
      <c r="J32" s="107"/>
      <c r="K32" s="105"/>
      <c r="L32" s="105"/>
      <c r="M32" s="108"/>
      <c r="N32" s="107"/>
      <c r="O32" s="121"/>
      <c r="P32" s="121"/>
      <c r="Q32" s="123"/>
      <c r="R32" s="124"/>
      <c r="S32" s="121"/>
      <c r="T32" s="121"/>
      <c r="U32" s="123"/>
      <c r="V32" s="124"/>
      <c r="W32" s="121"/>
      <c r="X32" s="121"/>
      <c r="Y32" s="123"/>
      <c r="Z32" s="124"/>
    </row>
    <row r="33">
      <c r="A33" s="86" t="s">
        <v>196</v>
      </c>
      <c r="B33" s="109" t="s">
        <v>197</v>
      </c>
      <c r="C33" s="105">
        <f>VLOOKUP($A$32,Январь_2025_свод[#ALL],2,0)</f>
        <v>1855</v>
      </c>
      <c r="D33" s="105">
        <f>VLOOKUP($A$32,Январь_2025_свод[#ALL],3,0)</f>
        <v>1855</v>
      </c>
      <c r="E33" s="89">
        <f t="shared" ref="E33:E34" si="67">D33/C33</f>
        <v>1</v>
      </c>
      <c r="F33" s="90" t="str">
        <f>IFERROR(__xludf.DUMMYFUNCTION("IF(B33=""да"",
    IF(E33=1, SPARKLINE(E33, {""charttype"",""bar"";""max"",1;""color1"",""#6aa84f""}), SPARKLINE(E33, {""charttype"",""bar"";""max"",1;""color1"",""#e06666""})),
    IF(E33&lt;1, SPARKLINE(E33, {""charttype"",""bar"";""max"",1;""color1"",""#6"&amp;"aa84f""}), SPARKLINE(E33, {""charttype"",""bar"";""max"",1;""color1"",""#e06666""}))
)"),"")</f>
        <v/>
      </c>
      <c r="G33" s="105">
        <f>VLOOKUP($A$32,Февраль_2025_свод[#ALL],2,0)</f>
        <v>1855</v>
      </c>
      <c r="H33" s="105">
        <f>VLOOKUP($A$32,Февраль_2025_свод[#ALL],3,0)</f>
        <v>1855</v>
      </c>
      <c r="I33" s="91">
        <f t="shared" ref="I33:I34" si="68">H33/G33</f>
        <v>1</v>
      </c>
      <c r="J33" s="110" t="str">
        <f>IFERROR(__xludf.DUMMYFUNCTION("IF($B$33=""да"",
    IF(I33=1, SPARKLINE(I33, {""charttype"",""bar"";""max"",1;""color1"",""#6aa84f""}), SPARKLINE(I33, {""charttype"",""bar"";""max"",1;""color1"",""#e06666""})),
    IF(I33&lt;1, SPARKLINE(I33, {""charttype"",""bar"";""max"",1;""color1"","""&amp;"#6aa84f""}), SPARKLINE(I33, {""charttype"",""bar"";""max"",1;""color1"",""#e06666""}))
)"),"")</f>
        <v/>
      </c>
      <c r="K33" s="105">
        <f>VLOOKUP($A$32,Март_2025_свод[#ALL],2,0)</f>
        <v>1855</v>
      </c>
      <c r="L33" s="105">
        <f>VLOOKUP($A$32,Март_2025_свод[#ALL],3,0)</f>
        <v>1855</v>
      </c>
      <c r="M33" s="89">
        <f t="shared" ref="M33:M34" si="69">L33/K33</f>
        <v>1</v>
      </c>
      <c r="N33" s="110" t="str">
        <f>IFERROR(__xludf.DUMMYFUNCTION("IF($B$33=""да"",
    IF(M33=1, SPARKLINE(M33, {""charttype"",""bar"";""max"",1;""color1"",""#6aa84f""}), SPARKLINE(M33, {""charttype"",""bar"";""max"",1;""color1"",""#e06666""})),
    IF(M33&lt;1, SPARKLINE(M33, {""charttype"",""bar"";""max"",1;""color1"","""&amp;"#6aa84f""}), SPARKLINE(M33, {""charttype"",""bar"";""max"",1;""color1"",""#e06666""}))
)"),"")</f>
        <v/>
      </c>
      <c r="O33" s="118">
        <f>VLOOKUP($A$32,'Апрель_2025'!$A$90:$I$94,2,0)</f>
        <v>1855</v>
      </c>
      <c r="P33" s="118">
        <f>VLOOKUP($A$32,'Апрель_2025'!$A$90:$I$94,3,0)</f>
        <v>1855</v>
      </c>
      <c r="Q33" s="119">
        <f t="shared" ref="Q33:Q34" si="70">P33/O33</f>
        <v>1</v>
      </c>
      <c r="R33" s="120" t="str">
        <f>IFERROR(__xludf.DUMMYFUNCTION("IF($B$33=""да"",
    IF(Q33=1, SPARKLINE(Q33, {""charttype"",""bar"";""max"",1;""color1"",""#6aa84f""}), SPARKLINE(Q33, {""charttype"",""bar"";""max"",1;""color1"",""#e06666""})),
    IF(Q33&lt;1, SPARKLINE(Q33, {""charttype"",""bar"";""max"",1;""color1"","""&amp;"#6aa84f""}), SPARKLINE(Q33, {""charttype"",""bar"";""max"",1;""color1"",""#e06666""}))
)"),"")</f>
        <v/>
      </c>
      <c r="S33" s="118">
        <f>VLOOKUP($A$32,'Май_2025'!$A$90:$I$94,2,0)</f>
        <v>1855</v>
      </c>
      <c r="T33" s="118">
        <f>VLOOKUP($A$32,'Май_2025'!$A$90:$I$94,3,0)</f>
        <v>1855</v>
      </c>
      <c r="U33" s="119">
        <f t="shared" ref="U33:U34" si="71">T33/S33</f>
        <v>1</v>
      </c>
      <c r="V33" s="120" t="str">
        <f>IFERROR(__xludf.DUMMYFUNCTION("IF($B$33=""да"",
    IF(U33=1, SPARKLINE(U33, {""charttype"",""bar"";""max"",1;""color1"",""#6aa84f""}), SPARKLINE(U33, {""charttype"",""bar"";""max"",1;""color1"",""#e06666""})),
    IF(U33&lt;1, SPARKLINE(U33, {""charttype"",""bar"";""max"",1;""color1"","""&amp;"#6aa84f""}), SPARKLINE(U33, {""charttype"",""bar"";""max"",1;""color1"",""#e06666""}))
)"),"")</f>
        <v/>
      </c>
      <c r="W33" s="118">
        <f>VLOOKUP($A$32,'Июнь_2025'!$A$90:$I$94,2,0)</f>
        <v>1855</v>
      </c>
      <c r="X33" s="118">
        <f>VLOOKUP($A$32,'Июнь_2025'!$A$90:$I$94,3,0)</f>
        <v>1855</v>
      </c>
      <c r="Y33" s="119">
        <f t="shared" ref="Y33:Y34" si="72">X33/W33</f>
        <v>1</v>
      </c>
      <c r="Z33" s="120" t="str">
        <f>IFERROR(__xludf.DUMMYFUNCTION("IF($B$33=""да"",
    IF(Y33=1, SPARKLINE(Y33, {""charttype"",""bar"";""max"",1;""color1"",""#6aa84f""}), SPARKLINE(Y33, {""charttype"",""bar"";""max"",1;""color1"",""#e06666""})),
    IF(Y33&lt;1, SPARKLINE(Y33, {""charttype"",""bar"";""max"",1;""color1"","""&amp;"#6aa84f""}), SPARKLINE(Y33, {""charttype"",""bar"";""max"",1;""color1"",""#e06666""}))
)"),"")</f>
        <v/>
      </c>
    </row>
    <row r="34">
      <c r="A34" s="86" t="s">
        <v>198</v>
      </c>
      <c r="B34" s="109" t="s">
        <v>197</v>
      </c>
      <c r="C34" s="105">
        <f>VLOOKUP(A32,Январь_2025_свод[#ALL],4,0)</f>
        <v>18</v>
      </c>
      <c r="D34" s="105">
        <f>VLOOKUP(A32,Январь_2025_свод[#ALL],5,0)</f>
        <v>18</v>
      </c>
      <c r="E34" s="89">
        <f t="shared" si="67"/>
        <v>1</v>
      </c>
      <c r="F34" s="90" t="str">
        <f>IFERROR(__xludf.DUMMYFUNCTION("IF(B34=""да"",
    IF(E34=1, SPARKLINE(E34, {""charttype"",""bar"";""max"",1;""color1"",""#6aa84f""}), SPARKLINE(E34, {""charttype"",""bar"";""max"",1;""color1"",""#e06666""})),
    IF(E34&lt;1, SPARKLINE(E34, {""charttype"",""bar"";""max"",1;""color1"",""#6"&amp;"aa84f""}), SPARKLINE(E34, {""charttype"",""bar"";""max"",1;""color1"",""#e06666""}))
)"),"")</f>
        <v/>
      </c>
      <c r="G34" s="105">
        <f>VLOOKUP($A$32,Февраль_2025_свод[#ALL],4,0)</f>
        <v>18</v>
      </c>
      <c r="H34" s="105">
        <f>VLOOKUP($A$32,Февраль_2025_свод[#ALL],5,0)</f>
        <v>18</v>
      </c>
      <c r="I34" s="91">
        <f t="shared" si="68"/>
        <v>1</v>
      </c>
      <c r="J34" s="110" t="str">
        <f>IFERROR(__xludf.DUMMYFUNCTION("IF($B$34=""да"",
    IF(I34=1, SPARKLINE(I34, {""charttype"",""bar"";""max"",1;""color1"",""#6aa84f""}), SPARKLINE(I34, {""charttype"",""bar"";""max"",1;""color1"",""#e06666""})),
    IF(I34&lt;1, SPARKLINE(I34, {""charttype"",""bar"";""max"",1;""color1"","""&amp;"#6aa84f""}), SPARKLINE(I34, {""charttype"",""bar"";""max"",1;""color1"",""#e06666""}))
)"),"")</f>
        <v/>
      </c>
      <c r="K34" s="105">
        <f>VLOOKUP($A$32,Март_2025_свод[#ALL],4,0)</f>
        <v>18</v>
      </c>
      <c r="L34" s="105">
        <f>VLOOKUP($A$32,Март_2025_свод[#ALL],5,0)</f>
        <v>18</v>
      </c>
      <c r="M34" s="89">
        <f t="shared" si="69"/>
        <v>1</v>
      </c>
      <c r="N34" s="110" t="str">
        <f>IFERROR(__xludf.DUMMYFUNCTION("IF($B$34=""да"",
    IF(M34=1, SPARKLINE(M34, {""charttype"",""bar"";""max"",1;""color1"",""#6aa84f""}), SPARKLINE(M34, {""charttype"",""bar"";""max"",1;""color1"",""#e06666""})),
    IF(M34&lt;1, SPARKLINE(M34, {""charttype"",""bar"";""max"",1;""color1"","""&amp;"#6aa84f""}), SPARKLINE(M34, {""charttype"",""bar"";""max"",1;""color1"",""#e06666""}))
)"),"")</f>
        <v/>
      </c>
      <c r="O34" s="118">
        <f>VLOOKUP($A$32,'Апрель_2025'!$A$90:$I$94,4,0)</f>
        <v>18</v>
      </c>
      <c r="P34" s="118">
        <f>VLOOKUP($A$32,'Апрель_2025'!$A$90:$I$94,5,0)</f>
        <v>18</v>
      </c>
      <c r="Q34" s="119">
        <f t="shared" si="70"/>
        <v>1</v>
      </c>
      <c r="R34" s="120" t="str">
        <f>IFERROR(__xludf.DUMMYFUNCTION("IF($B$34=""да"",
    IF(Q34=1, SPARKLINE(Q34, {""charttype"",""bar"";""max"",1;""color1"",""#6aa84f""}), SPARKLINE(Q34, {""charttype"",""bar"";""max"",1;""color1"",""#e06666""})),
    IF(Q34&lt;1, SPARKLINE(Q34, {""charttype"",""bar"";""max"",1;""color1"","""&amp;"#6aa84f""}), SPARKLINE(Q34, {""charttype"",""bar"";""max"",1;""color1"",""#e06666""}))
)"),"")</f>
        <v/>
      </c>
      <c r="S34" s="118">
        <f>VLOOKUP($A$32,'Май_2025'!$A$90:$I$94,4,0)</f>
        <v>18</v>
      </c>
      <c r="T34" s="118">
        <f>VLOOKUP($A$32,'Май_2025'!$A$90:$I$94,5,0)</f>
        <v>18</v>
      </c>
      <c r="U34" s="119">
        <f t="shared" si="71"/>
        <v>1</v>
      </c>
      <c r="V34" s="120" t="str">
        <f>IFERROR(__xludf.DUMMYFUNCTION("IF($B$34=""да"",
    IF(U34=1, SPARKLINE(U34, {""charttype"",""bar"";""max"",1;""color1"",""#6aa84f""}), SPARKLINE(U34, {""charttype"",""bar"";""max"",1;""color1"",""#e06666""})),
    IF(U34&lt;1, SPARKLINE(U34, {""charttype"",""bar"";""max"",1;""color1"","""&amp;"#6aa84f""}), SPARKLINE(U34, {""charttype"",""bar"";""max"",1;""color1"",""#e06666""}))
)"),"")</f>
        <v/>
      </c>
      <c r="W34" s="118">
        <f>VLOOKUP($A$32,'Июнь_2025'!$A$90:$I$94,4,0)</f>
        <v>18</v>
      </c>
      <c r="X34" s="118">
        <f>VLOOKUP($A$32,'Июнь_2025'!$A$90:$I$94,5,0)</f>
        <v>18</v>
      </c>
      <c r="Y34" s="119">
        <f t="shared" si="72"/>
        <v>1</v>
      </c>
      <c r="Z34" s="120" t="str">
        <f>IFERROR(__xludf.DUMMYFUNCTION("IF($B$34=""да"",
    IF(Y34=1, SPARKLINE(Y34, {""charttype"",""bar"";""max"",1;""color1"",""#6aa84f""}), SPARKLINE(Y34, {""charttype"",""bar"";""max"",1;""color1"",""#e06666""})),
    IF(Y34&lt;1, SPARKLINE(Y34, {""charttype"",""bar"";""max"",1;""color1"","""&amp;"#6aa84f""}), SPARKLINE(Y34, {""charttype"",""bar"";""max"",1;""color1"",""#e06666""}))
)"),"")</f>
        <v/>
      </c>
    </row>
    <row r="35">
      <c r="A35" s="86" t="s">
        <v>199</v>
      </c>
      <c r="B35" s="109" t="s">
        <v>197</v>
      </c>
      <c r="C35" s="105"/>
      <c r="D35" s="105">
        <f>VLOOKUP($A$32,Январь_2025_свод[#ALL],6,0)</f>
        <v>524</v>
      </c>
      <c r="E35" s="89"/>
      <c r="F35" s="90"/>
      <c r="G35" s="105"/>
      <c r="H35" s="105">
        <f>VLOOKUP($A$32,Февраль_2025_свод[#ALL],6,0)</f>
        <v>499</v>
      </c>
      <c r="I35" s="91">
        <f t="shared" ref="I35:I37" si="73">H35/D35-1</f>
        <v>-0.04770992366</v>
      </c>
      <c r="J35" s="96" t="str">
        <f t="shared" ref="J35:J36" si="74">IF(I35&gt;0,"▲",IF(I35&lt;0, "▼", " "))</f>
        <v>▼</v>
      </c>
      <c r="K35" s="105"/>
      <c r="L35" s="105">
        <f>VLOOKUP($A$32,Март_2025_свод[#ALL],6,0)</f>
        <v>531</v>
      </c>
      <c r="M35" s="111">
        <f t="shared" ref="M35:M37" si="75">L35/H35-1</f>
        <v>0.06412825651</v>
      </c>
      <c r="N35" s="96" t="str">
        <f t="shared" ref="N35:N36" si="76">IF(M35&gt;0,"▲",IF(M35&lt;0, "▼", " "))</f>
        <v>▲</v>
      </c>
      <c r="O35" s="121"/>
      <c r="P35" s="118">
        <f>VLOOKUP($A$32,'Апрель_2025'!$A$90:$I$94,6,0)</f>
        <v>508</v>
      </c>
      <c r="Q35" s="122">
        <f t="shared" ref="Q35:Q37" si="77">P35/L35-1</f>
        <v>-0.04331450094</v>
      </c>
      <c r="R35" s="96" t="str">
        <f t="shared" ref="R35:R36" si="78">IF(Q35&gt;0,"▲",IF(Q35&lt;0, "▼", " "))</f>
        <v>▼</v>
      </c>
      <c r="S35" s="121"/>
      <c r="T35" s="118">
        <f>VLOOKUP($A$32,'Май_2025'!$A$90:$I$94,6,0)</f>
        <v>557</v>
      </c>
      <c r="U35" s="89">
        <f t="shared" ref="U35:U37" si="79">T35/P35-1</f>
        <v>0.09645669291</v>
      </c>
      <c r="V35" s="96" t="str">
        <f t="shared" ref="V35:V36" si="80">IF(U35&gt;0,"▲",IF(U35&lt;0, "▼", " "))</f>
        <v>▲</v>
      </c>
      <c r="W35" s="121"/>
      <c r="X35" s="118">
        <f>VLOOKUP($A$32,'Июнь_2025'!$A$90:$I$94,6,0)</f>
        <v>506</v>
      </c>
      <c r="Y35" s="89">
        <f t="shared" ref="Y35:Y37" si="81">X35/T35-1</f>
        <v>-0.09156193896</v>
      </c>
      <c r="Z35" s="96" t="str">
        <f t="shared" ref="Z35:Z36" si="82">IF(Y35&gt;0,"▲",IF(Y35&lt;0, "▼", " "))</f>
        <v>▼</v>
      </c>
    </row>
    <row r="36">
      <c r="A36" s="86" t="s">
        <v>200</v>
      </c>
      <c r="B36" s="109" t="s">
        <v>197</v>
      </c>
      <c r="C36" s="105"/>
      <c r="D36" s="105">
        <f>VLOOKUP($A$32,Январь_2025_свод[#ALL],7,0)</f>
        <v>23960000</v>
      </c>
      <c r="E36" s="89"/>
      <c r="F36" s="90"/>
      <c r="G36" s="105"/>
      <c r="H36" s="105">
        <f>VLOOKUP($A$32,Февраль_2025_свод[#ALL],7,0)</f>
        <v>20955000</v>
      </c>
      <c r="I36" s="91">
        <f t="shared" si="73"/>
        <v>-0.1254173623</v>
      </c>
      <c r="J36" s="96" t="str">
        <f t="shared" si="74"/>
        <v>▼</v>
      </c>
      <c r="K36" s="105"/>
      <c r="L36" s="105">
        <f>VLOOKUP($A$32,Март_2025_свод[#ALL],7,0)</f>
        <v>24080000</v>
      </c>
      <c r="M36" s="111">
        <f t="shared" si="75"/>
        <v>0.1491290861</v>
      </c>
      <c r="N36" s="96" t="str">
        <f t="shared" si="76"/>
        <v>▲</v>
      </c>
      <c r="O36" s="121"/>
      <c r="P36" s="118">
        <f>VLOOKUP($A$32,'Апрель_2025'!$A$90:$I$94,7,0)</f>
        <v>23685000</v>
      </c>
      <c r="Q36" s="122">
        <f t="shared" si="77"/>
        <v>-0.01640365449</v>
      </c>
      <c r="R36" s="96" t="str">
        <f t="shared" si="78"/>
        <v>▼</v>
      </c>
      <c r="S36" s="121"/>
      <c r="T36" s="118">
        <f>VLOOKUP($A$32,'Май_2025'!$A$90:$I$94,7,0)</f>
        <v>24535000</v>
      </c>
      <c r="U36" s="89">
        <f t="shared" si="79"/>
        <v>0.03588769263</v>
      </c>
      <c r="V36" s="96" t="str">
        <f t="shared" si="80"/>
        <v>▲</v>
      </c>
      <c r="W36" s="121"/>
      <c r="X36" s="118">
        <f>VLOOKUP($A$32,'Июнь_2025'!$A$90:$I$94,7,0)</f>
        <v>21960000</v>
      </c>
      <c r="Y36" s="89">
        <f t="shared" si="81"/>
        <v>-0.1049521092</v>
      </c>
      <c r="Z36" s="96" t="str">
        <f t="shared" si="82"/>
        <v>▼</v>
      </c>
    </row>
    <row r="37">
      <c r="A37" s="86" t="s">
        <v>201</v>
      </c>
      <c r="B37" s="109" t="s">
        <v>202</v>
      </c>
      <c r="C37" s="105"/>
      <c r="D37" s="105">
        <f>VLOOKUP($A$32,Январь_2025_свод[#ALL],8,0)</f>
        <v>470180</v>
      </c>
      <c r="E37" s="89"/>
      <c r="F37" s="90"/>
      <c r="G37" s="105"/>
      <c r="H37" s="105">
        <f>VLOOKUP($A$32,Февраль_2025_свод[#ALL],8,0)</f>
        <v>250000</v>
      </c>
      <c r="I37" s="91">
        <f t="shared" si="73"/>
        <v>-0.4682887405</v>
      </c>
      <c r="J37" s="96" t="str">
        <f>IF(I37&lt;0,"▲",IF(I37&gt;0, "▼", " "))</f>
        <v>▲</v>
      </c>
      <c r="K37" s="105"/>
      <c r="L37" s="105">
        <f>VLOOKUP($A$32,Март_2025_свод[#ALL],8,0)</f>
        <v>207180</v>
      </c>
      <c r="M37" s="111">
        <f t="shared" si="75"/>
        <v>-0.17128</v>
      </c>
      <c r="N37" s="96" t="str">
        <f>IF(M37&lt;0,"▲",IF(M37&gt;0, "▼", " "))</f>
        <v>▲</v>
      </c>
      <c r="O37" s="121"/>
      <c r="P37" s="118">
        <f>VLOOKUP($A$32,'Апрель_2025'!$A$90:$I$94,8,0)</f>
        <v>470180</v>
      </c>
      <c r="Q37" s="122">
        <f t="shared" si="77"/>
        <v>1.269427551</v>
      </c>
      <c r="R37" s="96" t="str">
        <f>IF(Q37&lt;0,"▲",IF(Q37&gt;0, "▼", " "))</f>
        <v>▼</v>
      </c>
      <c r="S37" s="121"/>
      <c r="T37" s="118">
        <f>VLOOKUP($A$32,'Май_2025'!$A$90:$I$94,8,0)</f>
        <v>362400</v>
      </c>
      <c r="U37" s="89">
        <f t="shared" si="79"/>
        <v>-0.2292313582</v>
      </c>
      <c r="V37" s="96" t="str">
        <f>IF(U37&lt;0,"▲",IF(U37&gt;0, "▼", " "))</f>
        <v>▲</v>
      </c>
      <c r="W37" s="121"/>
      <c r="X37" s="118">
        <f>VLOOKUP($A$32,'Июнь_2025'!$A$90:$I$94,8,0)</f>
        <v>176300</v>
      </c>
      <c r="Y37" s="89">
        <f t="shared" si="81"/>
        <v>-0.5135209713</v>
      </c>
      <c r="Z37" s="96" t="str">
        <f>IF(Y37&lt;0,"▲",IF(Y37&gt;0, "▼", " "))</f>
        <v>▲</v>
      </c>
    </row>
    <row r="38">
      <c r="A38" s="70"/>
      <c r="B38" s="69"/>
      <c r="C38" s="97"/>
      <c r="D38" s="97"/>
      <c r="E38" s="78"/>
      <c r="F38" s="125"/>
      <c r="G38" s="97"/>
      <c r="H38" s="114"/>
      <c r="I38" s="115"/>
      <c r="J38" s="116"/>
      <c r="K38" s="97"/>
      <c r="L38" s="114"/>
      <c r="M38" s="117"/>
      <c r="N38" s="116"/>
      <c r="O38" s="121"/>
      <c r="P38" s="121"/>
      <c r="Q38" s="123"/>
      <c r="R38" s="124"/>
      <c r="S38" s="121"/>
      <c r="T38" s="121"/>
      <c r="U38" s="123"/>
      <c r="V38" s="124"/>
      <c r="W38" s="121"/>
      <c r="X38" s="121"/>
      <c r="Y38" s="123"/>
      <c r="Z38" s="124"/>
    </row>
    <row r="39">
      <c r="A39" s="70"/>
      <c r="B39" s="69"/>
      <c r="C39" s="97"/>
      <c r="D39" s="97"/>
      <c r="E39" s="78"/>
      <c r="F39" s="125"/>
      <c r="G39" s="97"/>
      <c r="H39" s="114"/>
      <c r="I39" s="115"/>
      <c r="J39" s="116"/>
      <c r="K39" s="97"/>
      <c r="L39" s="114"/>
      <c r="M39" s="117"/>
      <c r="N39" s="116"/>
      <c r="O39" s="121"/>
      <c r="P39" s="121"/>
      <c r="Q39" s="123"/>
      <c r="R39" s="124"/>
      <c r="S39" s="121"/>
      <c r="T39" s="121"/>
      <c r="U39" s="123"/>
      <c r="V39" s="124"/>
      <c r="W39" s="121"/>
      <c r="X39" s="121"/>
      <c r="Y39" s="123"/>
      <c r="Z39" s="124"/>
    </row>
    <row r="40">
      <c r="A40" s="104" t="s">
        <v>16</v>
      </c>
      <c r="B40" s="69"/>
      <c r="C40" s="105"/>
      <c r="D40" s="97"/>
      <c r="E40" s="94"/>
      <c r="F40" s="95"/>
      <c r="G40" s="105"/>
      <c r="H40" s="105"/>
      <c r="I40" s="106"/>
      <c r="J40" s="107"/>
      <c r="K40" s="105"/>
      <c r="L40" s="105"/>
      <c r="M40" s="108"/>
      <c r="N40" s="107"/>
      <c r="O40" s="121"/>
      <c r="P40" s="121"/>
      <c r="Q40" s="123"/>
      <c r="R40" s="124"/>
      <c r="S40" s="121"/>
      <c r="T40" s="121"/>
      <c r="U40" s="123"/>
      <c r="V40" s="124"/>
      <c r="W40" s="121"/>
      <c r="X40" s="121"/>
      <c r="Y40" s="123"/>
      <c r="Z40" s="124"/>
    </row>
    <row r="41">
      <c r="A41" s="86" t="s">
        <v>196</v>
      </c>
      <c r="B41" s="109" t="s">
        <v>197</v>
      </c>
      <c r="C41" s="105">
        <f>VLOOKUP($A$40,Январь_2025_свод[#ALL],2,0)</f>
        <v>3112</v>
      </c>
      <c r="D41" s="105">
        <f>VLOOKUP($A$40,Январь_2025_свод[#ALL],3,0)</f>
        <v>3112</v>
      </c>
      <c r="E41" s="89">
        <f t="shared" ref="E41:E42" si="83">D41/C41</f>
        <v>1</v>
      </c>
      <c r="F41" s="90" t="str">
        <f>IFERROR(__xludf.DUMMYFUNCTION("IF(B41=""да"",
    IF(E41=1, SPARKLINE(E41, {""charttype"",""bar"";""max"",1;""color1"",""#6aa84f""}), SPARKLINE(E41, {""charttype"",""bar"";""max"",1;""color1"",""#e06666""})),
    IF(E41&lt;1, SPARKLINE(E41, {""charttype"",""bar"";""max"",1;""color1"",""#6"&amp;"aa84f""}), SPARKLINE(E41, {""charttype"",""bar"";""max"",1;""color1"",""#e06666""}))
)"),"")</f>
        <v/>
      </c>
      <c r="G41" s="105">
        <f>VLOOKUP($A$40,Февраль_2025_свод[#ALL],2,0)</f>
        <v>3112</v>
      </c>
      <c r="H41" s="105">
        <f>VLOOKUP($A$40,Февраль_2025_свод[#ALL],3,0)</f>
        <v>3112</v>
      </c>
      <c r="I41" s="91">
        <f t="shared" ref="I41:I42" si="84">H41/G41</f>
        <v>1</v>
      </c>
      <c r="J41" s="110" t="str">
        <f>IFERROR(__xludf.DUMMYFUNCTION("IF($B$41=""да"",
    IF(I41=1, SPARKLINE(I41, {""charttype"",""bar"";""max"",1;""color1"",""#6aa84f""}), SPARKLINE(I41, {""charttype"",""bar"";""max"",1;""color1"",""#e06666""})),
    IF(I41&lt;1, SPARKLINE(I41, {""charttype"",""bar"";""max"",1;""color1"","""&amp;"#6aa84f""}), SPARKLINE(I41, {""charttype"",""bar"";""max"",1;""color1"",""#e06666""}))
)"),"")</f>
        <v/>
      </c>
      <c r="K41" s="105">
        <f>VLOOKUP($A$40,Март_2025_свод[#ALL],2,0)</f>
        <v>3112</v>
      </c>
      <c r="L41" s="105">
        <f>VLOOKUP($A$40,Март_2025_свод[#ALL],3,0)</f>
        <v>3112</v>
      </c>
      <c r="M41" s="89">
        <f t="shared" ref="M41:M42" si="85">L41/K41</f>
        <v>1</v>
      </c>
      <c r="N41" s="110" t="str">
        <f>IFERROR(__xludf.DUMMYFUNCTION("IF($B$41=""да"",
    IF(M41=1, SPARKLINE(M41, {""charttype"",""bar"";""max"",1;""color1"",""#6aa84f""}), SPARKLINE(M41, {""charttype"",""bar"";""max"",1;""color1"",""#e06666""})),
    IF(M41&lt;1, SPARKLINE(M41, {""charttype"",""bar"";""max"",1;""color1"","""&amp;"#6aa84f""}), SPARKLINE(M41, {""charttype"",""bar"";""max"",1;""color1"",""#e06666""}))
)"),"")</f>
        <v/>
      </c>
      <c r="O41" s="118">
        <f>VLOOKUP($A$40,'Апрель_2025'!$A$90:$I$94,2,0)</f>
        <v>3112</v>
      </c>
      <c r="P41" s="118">
        <f>VLOOKUP($A$40,'Апрель_2025'!$A$90:$I$94,3,0)</f>
        <v>3112</v>
      </c>
      <c r="Q41" s="119">
        <f t="shared" ref="Q41:Q42" si="86">P41/O41</f>
        <v>1</v>
      </c>
      <c r="R41" s="120" t="str">
        <f>IFERROR(__xludf.DUMMYFUNCTION("IF($B$41=""да"",
    IF(Q41=1, SPARKLINE(Q41, {""charttype"",""bar"";""max"",1;""color1"",""#6aa84f""}), SPARKLINE(Q41, {""charttype"",""bar"";""max"",1;""color1"",""#e06666""})),
    IF(Q41&lt;1, SPARKLINE(Q41, {""charttype"",""bar"";""max"",1;""color1"","""&amp;"#6aa84f""}), SPARKLINE(Q41, {""charttype"",""bar"";""max"",1;""color1"",""#e06666""}))
)"),"")</f>
        <v/>
      </c>
      <c r="S41" s="118">
        <f>VLOOKUP($A$40,'Май_2025'!$A$90:$I$94,2,0)</f>
        <v>3112</v>
      </c>
      <c r="T41" s="118">
        <f>VLOOKUP($A$40,'Май_2025'!$A$90:$I$94,3,0)</f>
        <v>3112</v>
      </c>
      <c r="U41" s="119">
        <f t="shared" ref="U41:U42" si="87">T41/S41</f>
        <v>1</v>
      </c>
      <c r="V41" s="120" t="str">
        <f>IFERROR(__xludf.DUMMYFUNCTION("IF($B$41=""да"",
    IF(U41=1, SPARKLINE(U41, {""charttype"",""bar"";""max"",1;""color1"",""#6aa84f""}), SPARKLINE(U41, {""charttype"",""bar"";""max"",1;""color1"",""#e06666""})),
    IF(U41&lt;1, SPARKLINE(U41, {""charttype"",""bar"";""max"",1;""color1"","""&amp;"#6aa84f""}), SPARKLINE(U41, {""charttype"",""bar"";""max"",1;""color1"",""#e06666""}))
)"),"")</f>
        <v/>
      </c>
      <c r="W41" s="118">
        <f>VLOOKUP($A$40,'Июнь_2025'!$A$90:$I$94,2,0)</f>
        <v>3112</v>
      </c>
      <c r="X41" s="118">
        <f>VLOOKUP($A$40,'Июнь_2025'!$A$90:$I$94,3,0)</f>
        <v>3112</v>
      </c>
      <c r="Y41" s="119">
        <f t="shared" ref="Y41:Y42" si="88">X41/W41</f>
        <v>1</v>
      </c>
      <c r="Z41" s="120" t="str">
        <f>IFERROR(__xludf.DUMMYFUNCTION("IF($B$41=""да"",
    IF(Y41=1, SPARKLINE(Y41, {""charttype"",""bar"";""max"",1;""color1"",""#6aa84f""}), SPARKLINE(Y41, {""charttype"",""bar"";""max"",1;""color1"",""#e06666""})),
    IF(Y41&lt;1, SPARKLINE(Y41, {""charttype"",""bar"";""max"",1;""color1"","""&amp;"#6aa84f""}), SPARKLINE(Y41, {""charttype"",""bar"";""max"",1;""color1"",""#e06666""}))
)"),"")</f>
        <v/>
      </c>
    </row>
    <row r="42">
      <c r="A42" s="86" t="s">
        <v>198</v>
      </c>
      <c r="B42" s="93" t="s">
        <v>197</v>
      </c>
      <c r="C42" s="105">
        <f>VLOOKUP(A40,Январь_2025_свод[#ALL],4,0)</f>
        <v>20</v>
      </c>
      <c r="D42" s="105">
        <f>VLOOKUP(A40,Январь_2025_свод[#ALL],5,0)</f>
        <v>20</v>
      </c>
      <c r="E42" s="89">
        <f t="shared" si="83"/>
        <v>1</v>
      </c>
      <c r="F42" s="90" t="str">
        <f>IFERROR(__xludf.DUMMYFUNCTION("IF(B42=""да"",
    IF(E42=1, SPARKLINE(E42, {""charttype"",""bar"";""max"",1;""color1"",""#6aa84f""}), SPARKLINE(E42, {""charttype"",""bar"";""max"",1;""color1"",""#e06666""})),
    IF(E42&lt;1, SPARKLINE(E42, {""charttype"",""bar"";""max"",1;""color1"",""#6"&amp;"aa84f""}), SPARKLINE(E42, {""charttype"",""bar"";""max"",1;""color1"",""#e06666""}))
)"),"")</f>
        <v/>
      </c>
      <c r="G42" s="105">
        <f>VLOOKUP($A$40,Февраль_2025_свод[#ALL],4,0)</f>
        <v>20</v>
      </c>
      <c r="H42" s="105">
        <f>VLOOKUP($A$40,Февраль_2025_свод[#ALL],5,0)</f>
        <v>20</v>
      </c>
      <c r="I42" s="91">
        <f t="shared" si="84"/>
        <v>1</v>
      </c>
      <c r="J42" s="110" t="str">
        <f>IFERROR(__xludf.DUMMYFUNCTION("IF($B$42=""да"",
    IF(I42=1, SPARKLINE(I42, {""charttype"",""bar"";""max"",1;""color1"",""#6aa84f""}), SPARKLINE(I42, {""charttype"",""bar"";""max"",1;""color1"",""#e06666""})),
    IF(I42&lt;1, SPARKLINE(I42, {""charttype"",""bar"";""max"",1;""color1"","""&amp;"#6aa84f""}), SPARKLINE(I42, {""charttype"",""bar"";""max"",1;""color1"",""#e06666""}))
)"),"")</f>
        <v/>
      </c>
      <c r="K42" s="105">
        <f>VLOOKUP($A$40,Март_2025_свод[#ALL],4,0)</f>
        <v>20</v>
      </c>
      <c r="L42" s="105">
        <f>VLOOKUP($A$40,Март_2025_свод[#ALL],5,0)</f>
        <v>20</v>
      </c>
      <c r="M42" s="89">
        <f t="shared" si="85"/>
        <v>1</v>
      </c>
      <c r="N42" s="110" t="str">
        <f>IFERROR(__xludf.DUMMYFUNCTION("IF($B$42=""да"",
    IF(M42=1, SPARKLINE(M42, {""charttype"",""bar"";""max"",1;""color1"",""#6aa84f""}), SPARKLINE(M42, {""charttype"",""bar"";""max"",1;""color1"",""#e06666""})),
    IF(M42&lt;1, SPARKLINE(M42, {""charttype"",""bar"";""max"",1;""color1"","""&amp;"#6aa84f""}), SPARKLINE(M42, {""charttype"",""bar"";""max"",1;""color1"",""#e06666""}))
)"),"")</f>
        <v/>
      </c>
      <c r="O42" s="118">
        <f>VLOOKUP($A$40,'Апрель_2025'!$A$90:$I$94,4,0)</f>
        <v>20</v>
      </c>
      <c r="P42" s="118">
        <f>VLOOKUP($A$40,'Апрель_2025'!$A$90:$I$94,5,0)</f>
        <v>20</v>
      </c>
      <c r="Q42" s="119">
        <f t="shared" si="86"/>
        <v>1</v>
      </c>
      <c r="R42" s="120" t="str">
        <f>IFERROR(__xludf.DUMMYFUNCTION("IF($B$42=""да"",
    IF(Q42=1, SPARKLINE(Q42, {""charttype"",""bar"";""max"",1;""color1"",""#6aa84f""}), SPARKLINE(Q42, {""charttype"",""bar"";""max"",1;""color1"",""#e06666""})),
    IF(Q42&lt;1, SPARKLINE(Q42, {""charttype"",""bar"";""max"",1;""color1"","""&amp;"#6aa84f""}), SPARKLINE(Q42, {""charttype"",""bar"";""max"",1;""color1"",""#e06666""}))
)"),"")</f>
        <v/>
      </c>
      <c r="S42" s="118">
        <f>VLOOKUP($A$40,'Май_2025'!$A$90:$I$94,4,0)</f>
        <v>20</v>
      </c>
      <c r="T42" s="118">
        <f>VLOOKUP($A$40,'Май_2025'!$A$90:$I$94,5,0)</f>
        <v>20</v>
      </c>
      <c r="U42" s="119">
        <f t="shared" si="87"/>
        <v>1</v>
      </c>
      <c r="V42" s="120" t="str">
        <f>IFERROR(__xludf.DUMMYFUNCTION("IF($B$42=""да"",
    IF(U42=1, SPARKLINE(U42, {""charttype"",""bar"";""max"",1;""color1"",""#6aa84f""}), SPARKLINE(U42, {""charttype"",""bar"";""max"",1;""color1"",""#e06666""})),
    IF(U42&lt;1, SPARKLINE(U42, {""charttype"",""bar"";""max"",1;""color1"","""&amp;"#6aa84f""}), SPARKLINE(U42, {""charttype"",""bar"";""max"",1;""color1"",""#e06666""}))
)"),"")</f>
        <v/>
      </c>
      <c r="W42" s="118">
        <f>VLOOKUP($A$40,'Июнь_2025'!$A$90:$I$94,4,0)</f>
        <v>20</v>
      </c>
      <c r="X42" s="118">
        <f>VLOOKUP($A$40,'Июнь_2025'!$A$90:$I$94,5,0)</f>
        <v>20</v>
      </c>
      <c r="Y42" s="119">
        <f t="shared" si="88"/>
        <v>1</v>
      </c>
      <c r="Z42" s="120" t="str">
        <f>IFERROR(__xludf.DUMMYFUNCTION("IF($B$42=""да"",
    IF(Y42=1, SPARKLINE(Y42, {""charttype"",""bar"";""max"",1;""color1"",""#6aa84f""}), SPARKLINE(Y42, {""charttype"",""bar"";""max"",1;""color1"",""#e06666""})),
    IF(Y42&lt;1, SPARKLINE(Y42, {""charttype"",""bar"";""max"",1;""color1"","""&amp;"#6aa84f""}), SPARKLINE(Y42, {""charttype"",""bar"";""max"",1;""color1"",""#e06666""}))
)"),"")</f>
        <v/>
      </c>
    </row>
    <row r="43">
      <c r="A43" s="86" t="s">
        <v>199</v>
      </c>
      <c r="B43" s="109" t="s">
        <v>197</v>
      </c>
      <c r="C43" s="105"/>
      <c r="D43" s="105">
        <f>VLOOKUP($A$40,Январь_2025_свод[#ALL],6,0)</f>
        <v>714</v>
      </c>
      <c r="E43" s="89"/>
      <c r="F43" s="90"/>
      <c r="G43" s="105"/>
      <c r="H43" s="105">
        <f>VLOOKUP($A$40,Февраль_2025_свод[#ALL],6,0)</f>
        <v>689</v>
      </c>
      <c r="I43" s="91">
        <f t="shared" ref="I43:I45" si="89">H43/D43-1</f>
        <v>-0.0350140056</v>
      </c>
      <c r="J43" s="96" t="str">
        <f t="shared" ref="J43:J44" si="90">IF(I43&gt;0,"▲",IF(I43&lt;0, "▼", " "))</f>
        <v>▼</v>
      </c>
      <c r="K43" s="105"/>
      <c r="L43" s="105">
        <f>VLOOKUP($A$40,Март_2025_свод[#ALL],6,0)</f>
        <v>734</v>
      </c>
      <c r="M43" s="111">
        <f t="shared" ref="M43:M45" si="91">L43/H43-1</f>
        <v>0.06531204644</v>
      </c>
      <c r="N43" s="96" t="str">
        <f t="shared" ref="N43:N44" si="92">IF(M43&gt;0,"▲",IF(M43&lt;0, "▼", " "))</f>
        <v>▲</v>
      </c>
      <c r="O43" s="121"/>
      <c r="P43" s="118">
        <f>VLOOKUP($A$40,'Апрель_2025'!$A$90:$I$94,6,0)</f>
        <v>708</v>
      </c>
      <c r="Q43" s="122">
        <f t="shared" ref="Q43:Q45" si="93">P43/L43-1</f>
        <v>-0.03542234332</v>
      </c>
      <c r="R43" s="96" t="str">
        <f t="shared" ref="R43:R44" si="94">IF(Q43&gt;0,"▲",IF(Q43&lt;0, "▼", " "))</f>
        <v>▼</v>
      </c>
      <c r="S43" s="121"/>
      <c r="T43" s="118">
        <f>VLOOKUP($A$40,'Май_2025'!$A$90:$I$94,6,0)</f>
        <v>742</v>
      </c>
      <c r="U43" s="89">
        <f t="shared" ref="U43:U45" si="95">T43/P43-1</f>
        <v>0.04802259887</v>
      </c>
      <c r="V43" s="96" t="str">
        <f t="shared" ref="V43:V44" si="96">IF(U43&gt;0,"▲",IF(U43&lt;0, "▼", " "))</f>
        <v>▲</v>
      </c>
      <c r="W43" s="121"/>
      <c r="X43" s="118">
        <f>VLOOKUP($A$40,'Июнь_2025'!$A$90:$I$94,6,0)</f>
        <v>696</v>
      </c>
      <c r="Y43" s="89">
        <f t="shared" ref="Y43:Y45" si="97">X43/T43-1</f>
        <v>-0.06199460916</v>
      </c>
      <c r="Z43" s="96" t="str">
        <f t="shared" ref="Z43:Z44" si="98">IF(Y43&gt;0,"▲",IF(Y43&lt;0, "▼", " "))</f>
        <v>▼</v>
      </c>
    </row>
    <row r="44">
      <c r="A44" s="86" t="s">
        <v>200</v>
      </c>
      <c r="B44" s="109" t="s">
        <v>197</v>
      </c>
      <c r="C44" s="105"/>
      <c r="D44" s="105">
        <f>VLOOKUP($A$40,Январь_2025_свод[#ALL],7,0)</f>
        <v>40045000</v>
      </c>
      <c r="E44" s="89"/>
      <c r="F44" s="90"/>
      <c r="G44" s="105"/>
      <c r="H44" s="105">
        <f>VLOOKUP($A$40,Февраль_2025_свод[#ALL],7,0)</f>
        <v>37380000</v>
      </c>
      <c r="I44" s="91">
        <f t="shared" si="89"/>
        <v>-0.0665501311</v>
      </c>
      <c r="J44" s="96" t="str">
        <f t="shared" si="90"/>
        <v>▼</v>
      </c>
      <c r="K44" s="105"/>
      <c r="L44" s="105">
        <f>VLOOKUP($A$40,Март_2025_свод[#ALL],7,0)</f>
        <v>40955000</v>
      </c>
      <c r="M44" s="111">
        <f t="shared" si="91"/>
        <v>0.09563937935</v>
      </c>
      <c r="N44" s="96" t="str">
        <f t="shared" si="92"/>
        <v>▲</v>
      </c>
      <c r="O44" s="121"/>
      <c r="P44" s="118">
        <f>VLOOKUP($A$40,'Апрель_2025'!$A$90:$I$94,7,0)</f>
        <v>39595000</v>
      </c>
      <c r="Q44" s="122">
        <f t="shared" si="93"/>
        <v>-0.03320717861</v>
      </c>
      <c r="R44" s="96" t="str">
        <f t="shared" si="94"/>
        <v>▼</v>
      </c>
      <c r="S44" s="121"/>
      <c r="T44" s="118">
        <f>VLOOKUP($A$40,'Май_2025'!$A$90:$I$94,7,0)</f>
        <v>41425000</v>
      </c>
      <c r="U44" s="89">
        <f t="shared" si="95"/>
        <v>0.04621795681</v>
      </c>
      <c r="V44" s="96" t="str">
        <f t="shared" si="96"/>
        <v>▲</v>
      </c>
      <c r="W44" s="121"/>
      <c r="X44" s="118">
        <f>VLOOKUP($A$40,'Июнь_2025'!$A$90:$I$94,7,0)</f>
        <v>47035000</v>
      </c>
      <c r="Y44" s="89">
        <f t="shared" si="97"/>
        <v>0.1354254677</v>
      </c>
      <c r="Z44" s="96" t="str">
        <f t="shared" si="98"/>
        <v>▲</v>
      </c>
    </row>
    <row r="45">
      <c r="A45" s="86" t="s">
        <v>201</v>
      </c>
      <c r="B45" s="109" t="s">
        <v>202</v>
      </c>
      <c r="C45" s="105"/>
      <c r="D45" s="105">
        <f>VLOOKUP($A$40,Январь_2025_свод[#ALL],8,0)</f>
        <v>1192460</v>
      </c>
      <c r="E45" s="89"/>
      <c r="F45" s="90"/>
      <c r="G45" s="105"/>
      <c r="H45" s="105">
        <f>VLOOKUP($A$40,Февраль_2025_свод[#ALL],8,0)</f>
        <v>930460</v>
      </c>
      <c r="I45" s="91">
        <f t="shared" si="89"/>
        <v>-0.2197138688</v>
      </c>
      <c r="J45" s="96" t="str">
        <f>IF(I45&lt;0,"▲",IF(I45&gt;0, "▼", " "))</f>
        <v>▲</v>
      </c>
      <c r="K45" s="105"/>
      <c r="L45" s="105">
        <f>VLOOKUP($A$40,Март_2025_свод[#ALL],8,0)</f>
        <v>283460</v>
      </c>
      <c r="M45" s="111">
        <f t="shared" si="91"/>
        <v>-0.6953549857</v>
      </c>
      <c r="N45" s="96" t="str">
        <f>IF(M45&lt;0,"▲",IF(M45&gt;0, "▼", " "))</f>
        <v>▲</v>
      </c>
      <c r="O45" s="121"/>
      <c r="P45" s="118">
        <f>VLOOKUP($A$40,'Апрель_2025'!$A$90:$I$94,8,0)</f>
        <v>697460</v>
      </c>
      <c r="Q45" s="122">
        <f t="shared" si="93"/>
        <v>1.460523531</v>
      </c>
      <c r="R45" s="96" t="str">
        <f>IF(Q45&lt;0,"▲",IF(Q45&gt;0, "▼", " "))</f>
        <v>▼</v>
      </c>
      <c r="S45" s="121"/>
      <c r="T45" s="118">
        <f>VLOOKUP($A$40,'Май_2025'!$A$90:$I$94,8,0)</f>
        <v>241360</v>
      </c>
      <c r="U45" s="89">
        <f t="shared" si="95"/>
        <v>-0.6539443122</v>
      </c>
      <c r="V45" s="96" t="str">
        <f>IF(U45&lt;0,"▲",IF(U45&gt;0, "▼", " "))</f>
        <v>▲</v>
      </c>
      <c r="W45" s="121"/>
      <c r="X45" s="118">
        <f>VLOOKUP($A$40,'Июнь_2025'!$A$90:$I$94,8,0)</f>
        <v>243960</v>
      </c>
      <c r="Y45" s="89">
        <f t="shared" si="97"/>
        <v>0.01077229035</v>
      </c>
      <c r="Z45" s="96" t="str">
        <f>IF(Y45&lt;0,"▲",IF(Y45&gt;0, "▼", " "))</f>
        <v>▼</v>
      </c>
    </row>
    <row r="46">
      <c r="A46" s="70"/>
      <c r="B46" s="69"/>
      <c r="C46" s="97"/>
      <c r="D46" s="97"/>
      <c r="E46" s="94"/>
      <c r="F46" s="95"/>
      <c r="G46" s="105"/>
      <c r="H46" s="105"/>
      <c r="I46" s="126"/>
      <c r="J46" s="107"/>
      <c r="K46" s="105"/>
      <c r="L46" s="105"/>
      <c r="M46" s="127"/>
      <c r="N46" s="107"/>
      <c r="O46" s="128"/>
      <c r="P46" s="128"/>
      <c r="Q46" s="129"/>
      <c r="R46" s="130"/>
      <c r="S46" s="128"/>
      <c r="T46" s="128"/>
      <c r="U46" s="129"/>
      <c r="V46" s="130"/>
      <c r="W46" s="128"/>
      <c r="X46" s="128"/>
      <c r="Y46" s="129"/>
      <c r="Z46" s="130"/>
    </row>
    <row r="47">
      <c r="A47" s="70"/>
      <c r="B47" s="69"/>
      <c r="C47" s="97"/>
      <c r="D47" s="97"/>
      <c r="E47" s="94"/>
      <c r="F47" s="95"/>
      <c r="G47" s="105"/>
      <c r="H47" s="105"/>
      <c r="I47" s="126"/>
      <c r="J47" s="107"/>
      <c r="K47" s="105"/>
      <c r="L47" s="105"/>
      <c r="M47" s="127"/>
      <c r="N47" s="107"/>
      <c r="O47" s="128"/>
      <c r="P47" s="128"/>
      <c r="Q47" s="129"/>
      <c r="R47" s="130"/>
      <c r="S47" s="128"/>
      <c r="T47" s="128"/>
      <c r="U47" s="129"/>
      <c r="V47" s="130"/>
      <c r="W47" s="128"/>
      <c r="X47" s="128"/>
      <c r="Y47" s="129"/>
      <c r="Z47" s="130"/>
    </row>
  </sheetData>
  <mergeCells count="7">
    <mergeCell ref="A1:A4"/>
    <mergeCell ref="C3:F3"/>
    <mergeCell ref="G3:J3"/>
    <mergeCell ref="K3:N3"/>
    <mergeCell ref="O3:R3"/>
    <mergeCell ref="S3:V3"/>
    <mergeCell ref="W3:Z3"/>
  </mergeCells>
  <conditionalFormatting sqref="F4 J4 N4 R4 V4 Z4">
    <cfRule type="expression" dxfId="4" priority="1">
      <formula>OR(AND(B:B="да",E:E&lt;1), AND(B:B="нет",E:E&gt;1))</formula>
    </cfRule>
  </conditionalFormatting>
  <conditionalFormatting sqref="E6:E7 E17:E18 E25:E26 E33:E34 E41:E42">
    <cfRule type="expression" dxfId="4" priority="2">
      <formula>OR(AND(B:B="да",E:E&lt;1), AND(B:B="нет",E:E&gt;1))</formula>
    </cfRule>
  </conditionalFormatting>
  <conditionalFormatting sqref="M6:M7 M17:M18 M25:M26 M33:M34 M41:M42">
    <cfRule type="expression" dxfId="5" priority="3">
      <formula>OR(AND(B:B="да",M:M&gt;=1), AND(B:B="нет",M:M&lt;1))</formula>
    </cfRule>
  </conditionalFormatting>
  <conditionalFormatting sqref="M8:M9 M19:M20 M27:M28 M35:M36 M43:M44">
    <cfRule type="expression" dxfId="5" priority="4">
      <formula>M:M&gt;=0</formula>
    </cfRule>
  </conditionalFormatting>
  <conditionalFormatting sqref="I6:I7 I17:I18 M17:M18 I25:I26 I33:I34 I41:I42">
    <cfRule type="expression" dxfId="4" priority="5">
      <formula>OR(AND(B:B="да",I:I&lt;1), AND(B:B="нет",I:I&gt;1))</formula>
    </cfRule>
  </conditionalFormatting>
  <conditionalFormatting sqref="E6:E7 E17:E18 E25:E26 E33:E34 E41:E42">
    <cfRule type="expression" dxfId="5" priority="6">
      <formula>OR(AND(B:B="да",E:E&gt;=1), AND(B:B="нет",E:E&lt;1))</formula>
    </cfRule>
  </conditionalFormatting>
  <conditionalFormatting sqref="E8:E9 E19:E20 E27:E28 E35:E36 E43:E44">
    <cfRule type="expression" dxfId="4" priority="7">
      <formula>E:E&lt;1</formula>
    </cfRule>
  </conditionalFormatting>
  <conditionalFormatting sqref="E8:E9 E19:E20 E27:E28 E35:E36 E43:E44">
    <cfRule type="expression" dxfId="5" priority="8">
      <formula>E:E&gt;=1</formula>
    </cfRule>
  </conditionalFormatting>
  <conditionalFormatting sqref="I8:I9 I19:I20 I27:I28 I35:I36 I43:I44">
    <cfRule type="expression" dxfId="5" priority="9">
      <formula>I:I&gt;0</formula>
    </cfRule>
  </conditionalFormatting>
  <conditionalFormatting sqref="I8:I9 I19:I20 I27:I28 I35:I36 I43:I44">
    <cfRule type="expression" dxfId="4" priority="10">
      <formula>I:I&lt;0</formula>
    </cfRule>
  </conditionalFormatting>
  <conditionalFormatting sqref="M8:M9 M19:M20 M27:M28 M35:M36 M43:M44">
    <cfRule type="expression" dxfId="4" priority="11">
      <formula>M:M&lt;0</formula>
    </cfRule>
  </conditionalFormatting>
  <conditionalFormatting sqref="M6:M7 M17:M18 M25:M26 M33:M34 M41:M42">
    <cfRule type="expression" dxfId="4" priority="12">
      <formula>OR(AND(B:B="да",M:M&lt;1), AND(B:B="нет",M:M&gt;1))</formula>
    </cfRule>
  </conditionalFormatting>
  <conditionalFormatting sqref="I6:I7 I17:I18 I25:I26 I33:I34 I41:I42">
    <cfRule type="expression" dxfId="5" priority="13">
      <formula>OR(AND(B:B="да",I:I&gt;=1), AND(B:B="нет",I:I&lt;1))</formula>
    </cfRule>
  </conditionalFormatting>
  <conditionalFormatting sqref="M10 M21 M29 M37 M45">
    <cfRule type="expression" dxfId="5" priority="14">
      <formula>M:M&lt;0</formula>
    </cfRule>
  </conditionalFormatting>
  <conditionalFormatting sqref="M10 M21 M29 M37 M45">
    <cfRule type="expression" dxfId="4" priority="15">
      <formula>M:M&gt;=0</formula>
    </cfRule>
  </conditionalFormatting>
  <conditionalFormatting sqref="Q6:Q7 Q17:Q18 Q25:Q26 Q33:Q34 Q41:Q42">
    <cfRule type="expression" dxfId="5" priority="16">
      <formula>OR(AND(B:B="да",Q:Q&gt;=1), AND(B:B="нет",Q:Q&lt;1))</formula>
    </cfRule>
  </conditionalFormatting>
  <conditionalFormatting sqref="Q6:Q7 Q17:Q18 Q25:Q26 Q33:Q34 Q41:Q42">
    <cfRule type="expression" dxfId="4" priority="17">
      <formula>OR(AND(B:B="да",Q:Q&lt;=1), AND(B:B="нет",Q:Q&gt;1))</formula>
    </cfRule>
  </conditionalFormatting>
  <conditionalFormatting sqref="Q8:Q9 Q19:Q20 Q27:Q28 Q35:Q36 Q43:Q44">
    <cfRule type="expression" dxfId="5" priority="18">
      <formula>Q:Q&gt;=0</formula>
    </cfRule>
  </conditionalFormatting>
  <conditionalFormatting sqref="Q8:Q9 Q19:Q20 Q27:Q28 Q35:Q36 Q43:Q44">
    <cfRule type="expression" dxfId="4" priority="19">
      <formula>Q:Q&lt;0</formula>
    </cfRule>
  </conditionalFormatting>
  <conditionalFormatting sqref="Q10 Q21 Q29 Q37 Q45">
    <cfRule type="expression" dxfId="4" priority="20">
      <formula>Q:Q&gt;=0</formula>
    </cfRule>
  </conditionalFormatting>
  <conditionalFormatting sqref="Q10 Q21 Q29 Q37 Q45">
    <cfRule type="expression" dxfId="5" priority="21">
      <formula>Q:Q&lt;0</formula>
    </cfRule>
  </conditionalFormatting>
  <conditionalFormatting sqref="I21 I29 I37 I45 I10">
    <cfRule type="expression" dxfId="4" priority="22">
      <formula>I:I&gt;=0</formula>
    </cfRule>
  </conditionalFormatting>
  <conditionalFormatting sqref="I21 I29 I37 I45 I10">
    <cfRule type="expression" dxfId="5" priority="23">
      <formula>I:I&lt;0</formula>
    </cfRule>
  </conditionalFormatting>
  <conditionalFormatting sqref="U6:U7 U17:U18 U25:U26 U33:U34 U41:U42">
    <cfRule type="expression" dxfId="4" priority="24">
      <formula>OR(AND(B:B="да",U:U&lt;1), AND(B:B="нет",U:U&gt;1))</formula>
    </cfRule>
  </conditionalFormatting>
  <conditionalFormatting sqref="U6:U7 U17:U18 U25:U26 U33:U34 U41:U42">
    <cfRule type="expression" dxfId="5" priority="25">
      <formula>OR(AND(B:B="да",U:U&gt;=1), AND(B:B="нет",U:U&lt;1))</formula>
    </cfRule>
  </conditionalFormatting>
  <conditionalFormatting sqref="U8:U9 U19:U20 U27:U28 U35:U36 U43:U44">
    <cfRule type="expression" dxfId="5" priority="26">
      <formula>U:U&gt;=0</formula>
    </cfRule>
  </conditionalFormatting>
  <conditionalFormatting sqref="U8:U9 U19:U20 U27:U28 U35:U36 U43:U44">
    <cfRule type="expression" dxfId="4" priority="27">
      <formula>U:U&lt;0</formula>
    </cfRule>
  </conditionalFormatting>
  <conditionalFormatting sqref="U10 U21 U29 U37 U45">
    <cfRule type="expression" dxfId="4" priority="28">
      <formula>U:U&gt;=0</formula>
    </cfRule>
  </conditionalFormatting>
  <conditionalFormatting sqref="U10 U21 U29 U37 U45">
    <cfRule type="expression" dxfId="5" priority="29">
      <formula>U:U&lt;0</formula>
    </cfRule>
  </conditionalFormatting>
  <conditionalFormatting sqref="Y6:Y7 Y17:Y18 Y25:Y26 Y33:Y34 Y41:Y42">
    <cfRule type="expression" dxfId="4" priority="30">
      <formula>OR(AND(B:B="да",Y:Y&lt;1), AND(B:B="нет",Y:Y&gt;1))</formula>
    </cfRule>
  </conditionalFormatting>
  <conditionalFormatting sqref="Y6:Y7 Y17:Y18 Y25:Y26 Y33:Y34 Y41:Y42">
    <cfRule type="expression" dxfId="5" priority="31">
      <formula>OR(AND(B:B="да",Y:Y&gt;=1), AND(B:B="нет",Y:Y&lt;1))</formula>
    </cfRule>
  </conditionalFormatting>
  <conditionalFormatting sqref="Y8:Y9 Y19:Y20 Y27:Y28 Y35:Y36 Y43:Y44">
    <cfRule type="expression" dxfId="5" priority="32">
      <formula>Y:Y&gt;=0</formula>
    </cfRule>
  </conditionalFormatting>
  <conditionalFormatting sqref="Y8:Y9 Y19:Y20 Y27:Y28 Y35:Y36 Y43:Y44">
    <cfRule type="expression" dxfId="4" priority="33">
      <formula>Y:Y&lt;0</formula>
    </cfRule>
  </conditionalFormatting>
  <conditionalFormatting sqref="Y10 Y21 Y29 Y37 Y45">
    <cfRule type="expression" dxfId="4" priority="34">
      <formula>Y:Y&gt;=0</formula>
    </cfRule>
  </conditionalFormatting>
  <conditionalFormatting sqref="Y10 Y21 Y29 Y37 Y45">
    <cfRule type="expression" dxfId="5" priority="35">
      <formula>Y:Y&lt;0</formula>
    </cfRule>
  </conditionalFormatting>
  <conditionalFormatting sqref="J8:J10 J19:J21 J27:J29 J35:J37 J43:J45 J19 N8:N10 R8:R10 V8:V10 Z8:Z10 N19:N21 R19:R21 V19:V21 Z19:Z21 N27:N29 R27:R29 V27:V29 Z27:Z29 Z35:Z37 V35:V37 R35:R37 N35:N37 J35 N43:N45 R43:R45 V43:V45 Z43:Z45">
    <cfRule type="cellIs" dxfId="5" priority="36" operator="equal">
      <formula>"▲"</formula>
    </cfRule>
  </conditionalFormatting>
  <conditionalFormatting sqref="J8:J10 J19:J21 J27:J29 J35:J37 J43:J45 J19 N8:N10 R8:R10 V8:V10 Z8:Z10 N19:N21 R19:R21 V19:V21 Z19:Z21 N27:N29 R27:R29 V27:V29 Z27:Z29 Z35:Z37 V35:V37 R35:R37 N35:N37 J35 N43:N45 R43:R45 V43:V45 Z43:Z45">
    <cfRule type="cellIs" dxfId="4" priority="37" operator="equal">
      <formula>"▼"</formula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showGridLines="0"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23.0"/>
    <col customWidth="1" hidden="1" min="2" max="2" width="10.43"/>
    <col customWidth="1" min="3" max="3" width="16.29"/>
    <col customWidth="1" min="4" max="4" width="15.43"/>
    <col customWidth="1" min="5" max="5" width="8.29"/>
    <col customWidth="1" min="6" max="6" width="8.0"/>
    <col customWidth="1" min="7" max="7" width="13.71"/>
    <col customWidth="1" min="8" max="8" width="8.29"/>
    <col customWidth="1" min="9" max="9" width="8.0"/>
    <col customWidth="1" min="10" max="10" width="14.71"/>
    <col customWidth="1" min="11" max="11" width="13.29"/>
    <col customWidth="1" min="12" max="12" width="8.29"/>
    <col customWidth="1" min="13" max="13" width="8.0"/>
    <col customWidth="1" min="14" max="14" width="12.0"/>
    <col customWidth="1" min="15" max="15" width="8.29"/>
    <col customWidth="1" min="16" max="16" width="8.0"/>
    <col customWidth="1" min="17" max="17" width="14.0"/>
    <col customWidth="1" min="18" max="18" width="13.29"/>
    <col customWidth="1" min="19" max="19" width="8.29"/>
    <col customWidth="1" min="20" max="20" width="8.0"/>
    <col customWidth="1" min="21" max="21" width="12.43"/>
    <col customWidth="1" min="22" max="22" width="8.29"/>
    <col customWidth="1" min="23" max="23" width="8.0"/>
    <col customWidth="1" min="24" max="24" width="15.0"/>
    <col customWidth="1" min="25" max="25" width="13.29"/>
    <col customWidth="1" min="26" max="26" width="8.29"/>
    <col customWidth="1" min="27" max="27" width="8.0"/>
    <col customWidth="1" min="28" max="28" width="12.43"/>
    <col customWidth="1" min="29" max="29" width="8.29"/>
    <col customWidth="1" min="30" max="30" width="8.0"/>
    <col customWidth="1" min="31" max="31" width="14.71"/>
    <col customWidth="1" min="32" max="32" width="13.29"/>
    <col customWidth="1" min="33" max="33" width="8.29"/>
    <col customWidth="1" min="34" max="34" width="8.0"/>
    <col customWidth="1" min="35" max="35" width="12.43"/>
    <col customWidth="1" min="36" max="36" width="8.29"/>
    <col customWidth="1" min="37" max="37" width="8.0"/>
    <col customWidth="1" min="38" max="38" width="16.86"/>
    <col customWidth="1" min="39" max="39" width="13.29"/>
    <col customWidth="1" min="40" max="40" width="8.29"/>
    <col customWidth="1" min="41" max="41" width="8.0"/>
    <col customWidth="1" min="42" max="42" width="12.43"/>
    <col customWidth="1" min="43" max="43" width="8.29"/>
    <col customWidth="1" min="44" max="44" width="8.0"/>
  </cols>
  <sheetData>
    <row r="1">
      <c r="A1" s="68" t="s">
        <v>204</v>
      </c>
      <c r="B1" s="69"/>
      <c r="C1" s="70"/>
      <c r="D1" s="70"/>
      <c r="E1" s="71"/>
      <c r="F1" s="71"/>
      <c r="G1" s="71"/>
      <c r="H1" s="71"/>
      <c r="I1" s="70"/>
      <c r="J1" s="70"/>
      <c r="K1" s="70"/>
      <c r="L1" s="131"/>
      <c r="M1" s="71"/>
      <c r="N1" s="71"/>
      <c r="O1" s="131"/>
      <c r="P1" s="70"/>
      <c r="Q1" s="70"/>
      <c r="R1" s="70"/>
      <c r="S1" s="131"/>
      <c r="T1" s="70"/>
      <c r="U1" s="70"/>
      <c r="V1" s="132"/>
      <c r="W1" s="70"/>
      <c r="X1" s="70"/>
      <c r="Y1" s="70"/>
      <c r="Z1" s="131"/>
      <c r="AA1" s="70"/>
      <c r="AB1" s="70"/>
      <c r="AC1" s="132"/>
      <c r="AD1" s="70"/>
      <c r="AE1" s="70"/>
      <c r="AF1" s="70"/>
      <c r="AG1" s="131"/>
      <c r="AH1" s="70"/>
      <c r="AI1" s="70"/>
      <c r="AJ1" s="132"/>
      <c r="AK1" s="70"/>
      <c r="AL1" s="70"/>
      <c r="AM1" s="70"/>
      <c r="AN1" s="131"/>
      <c r="AO1" s="70"/>
      <c r="AP1" s="70"/>
      <c r="AQ1" s="132"/>
      <c r="AR1" s="70"/>
    </row>
    <row r="2">
      <c r="B2" s="72"/>
      <c r="C2" s="133" t="s">
        <v>185</v>
      </c>
      <c r="I2" s="134"/>
      <c r="J2" s="133" t="s">
        <v>186</v>
      </c>
      <c r="P2" s="134"/>
      <c r="Q2" s="133" t="s">
        <v>187</v>
      </c>
      <c r="W2" s="134"/>
      <c r="X2" s="133" t="s">
        <v>188</v>
      </c>
      <c r="AD2" s="134"/>
      <c r="AE2" s="133" t="s">
        <v>189</v>
      </c>
      <c r="AK2" s="134"/>
      <c r="AL2" s="133" t="s">
        <v>190</v>
      </c>
      <c r="AR2" s="134"/>
    </row>
    <row r="3" ht="15.75" customHeight="1">
      <c r="B3" s="135"/>
      <c r="I3" s="134"/>
      <c r="P3" s="134"/>
      <c r="W3" s="134"/>
      <c r="AD3" s="134"/>
      <c r="AK3" s="134"/>
      <c r="AR3" s="134"/>
    </row>
    <row r="4">
      <c r="B4" s="136" t="s">
        <v>191</v>
      </c>
      <c r="C4" s="137" t="s">
        <v>205</v>
      </c>
      <c r="D4" s="137" t="s">
        <v>206</v>
      </c>
      <c r="E4" s="137" t="s">
        <v>207</v>
      </c>
      <c r="G4" s="137" t="s">
        <v>208</v>
      </c>
      <c r="H4" s="137" t="s">
        <v>207</v>
      </c>
      <c r="I4" s="134"/>
      <c r="J4" s="137" t="s">
        <v>205</v>
      </c>
      <c r="K4" s="137" t="s">
        <v>206</v>
      </c>
      <c r="L4" s="137" t="s">
        <v>207</v>
      </c>
      <c r="N4" s="137" t="s">
        <v>208</v>
      </c>
      <c r="O4" s="137" t="s">
        <v>207</v>
      </c>
      <c r="P4" s="134"/>
      <c r="Q4" s="137" t="s">
        <v>205</v>
      </c>
      <c r="R4" s="137" t="s">
        <v>206</v>
      </c>
      <c r="S4" s="137" t="s">
        <v>207</v>
      </c>
      <c r="U4" s="137" t="s">
        <v>208</v>
      </c>
      <c r="V4" s="137" t="s">
        <v>207</v>
      </c>
      <c r="W4" s="134"/>
      <c r="X4" s="137" t="s">
        <v>205</v>
      </c>
      <c r="Y4" s="137" t="s">
        <v>206</v>
      </c>
      <c r="Z4" s="137" t="s">
        <v>207</v>
      </c>
      <c r="AB4" s="137" t="s">
        <v>208</v>
      </c>
      <c r="AC4" s="137" t="s">
        <v>207</v>
      </c>
      <c r="AD4" s="134"/>
      <c r="AE4" s="137" t="s">
        <v>205</v>
      </c>
      <c r="AF4" s="137" t="s">
        <v>206</v>
      </c>
      <c r="AG4" s="137" t="s">
        <v>207</v>
      </c>
      <c r="AI4" s="137" t="s">
        <v>208</v>
      </c>
      <c r="AJ4" s="137" t="s">
        <v>207</v>
      </c>
      <c r="AK4" s="134"/>
      <c r="AL4" s="137" t="s">
        <v>205</v>
      </c>
      <c r="AM4" s="137" t="s">
        <v>206</v>
      </c>
      <c r="AN4" s="137" t="s">
        <v>207</v>
      </c>
      <c r="AP4" s="137" t="s">
        <v>208</v>
      </c>
      <c r="AQ4" s="137" t="s">
        <v>207</v>
      </c>
      <c r="AR4" s="134"/>
    </row>
    <row r="5" ht="25.5" customHeight="1">
      <c r="A5" s="80" t="s">
        <v>209</v>
      </c>
      <c r="B5" s="69"/>
      <c r="C5" s="138"/>
      <c r="D5" s="138"/>
      <c r="E5" s="94"/>
      <c r="F5" s="94"/>
      <c r="G5" s="94"/>
      <c r="H5" s="94"/>
      <c r="I5" s="139"/>
      <c r="J5" s="105"/>
      <c r="K5" s="105"/>
      <c r="L5" s="140"/>
      <c r="M5" s="126"/>
      <c r="N5" s="126"/>
      <c r="O5" s="140"/>
      <c r="P5" s="141"/>
      <c r="Q5" s="105"/>
      <c r="R5" s="105"/>
      <c r="S5" s="142"/>
      <c r="T5" s="143"/>
      <c r="U5" s="143"/>
      <c r="V5" s="144"/>
      <c r="W5" s="141"/>
      <c r="X5" s="128"/>
      <c r="Y5" s="128"/>
      <c r="Z5" s="145"/>
      <c r="AA5" s="146"/>
      <c r="AB5" s="146"/>
      <c r="AC5" s="147"/>
      <c r="AD5" s="148"/>
      <c r="AE5" s="128"/>
      <c r="AF5" s="128"/>
      <c r="AG5" s="145"/>
      <c r="AH5" s="146"/>
      <c r="AI5" s="146"/>
      <c r="AJ5" s="147"/>
      <c r="AK5" s="148"/>
      <c r="AL5" s="128"/>
      <c r="AM5" s="128"/>
      <c r="AN5" s="145"/>
      <c r="AO5" s="146"/>
      <c r="AP5" s="146"/>
      <c r="AQ5" s="147"/>
      <c r="AR5" s="148"/>
    </row>
    <row r="6">
      <c r="A6" s="149" t="s">
        <v>65</v>
      </c>
      <c r="B6" s="69"/>
      <c r="D6" s="97"/>
      <c r="E6" s="94"/>
      <c r="F6" s="94"/>
      <c r="G6" s="94"/>
      <c r="H6" s="94"/>
      <c r="I6" s="150"/>
      <c r="J6" s="105"/>
      <c r="K6" s="105"/>
      <c r="L6" s="140"/>
      <c r="M6" s="126"/>
      <c r="N6" s="126"/>
      <c r="O6" s="140"/>
      <c r="P6" s="141"/>
      <c r="Q6" s="105"/>
      <c r="R6" s="105"/>
      <c r="S6" s="142"/>
      <c r="T6" s="143"/>
      <c r="U6" s="143"/>
      <c r="V6" s="144"/>
      <c r="W6" s="141"/>
      <c r="X6" s="128"/>
      <c r="Y6" s="128"/>
      <c r="Z6" s="145"/>
      <c r="AA6" s="146"/>
      <c r="AB6" s="146"/>
      <c r="AC6" s="147"/>
      <c r="AD6" s="148"/>
      <c r="AE6" s="128"/>
      <c r="AF6" s="128"/>
      <c r="AG6" s="145"/>
      <c r="AH6" s="146"/>
      <c r="AI6" s="146"/>
      <c r="AJ6" s="147"/>
      <c r="AK6" s="148"/>
      <c r="AL6" s="128"/>
      <c r="AM6" s="128"/>
      <c r="AN6" s="145"/>
      <c r="AO6" s="146"/>
      <c r="AP6" s="146"/>
      <c r="AQ6" s="147"/>
      <c r="AR6" s="148"/>
    </row>
    <row r="7">
      <c r="A7" s="151" t="s">
        <v>16</v>
      </c>
      <c r="B7" s="69"/>
      <c r="C7" s="62">
        <f>VLOOKUP($A6,'Январь_2025'!$A$100:$M$111,2,0)</f>
        <v>0.1446015424</v>
      </c>
      <c r="D7" s="63">
        <f>VLOOKUP($A6,'Январь_2025'!$A$100:$M$111,3,0)</f>
        <v>204594.5946</v>
      </c>
      <c r="E7" s="152"/>
      <c r="F7" s="153" t="str">
        <f t="shared" ref="F7:F10" si="1">IF(E7&gt;0,"▲",IF(E7&lt;0, "▼", " "))</f>
        <v> </v>
      </c>
      <c r="G7" s="63">
        <f>VLOOKUP($A6,'Январь_2025'!$A$100:$M$111,4,0)</f>
        <v>16822.22222</v>
      </c>
      <c r="H7" s="152"/>
      <c r="I7" s="154"/>
      <c r="J7" s="62">
        <f>VLOOKUP($A6,'Февраль_2025'!$A$100:$M$111,2,0)</f>
        <v>0.1446015424</v>
      </c>
      <c r="K7" s="63">
        <f>VLOOKUP($A6,'Февраль_2025'!$A$100:$M$111,3,0)</f>
        <v>204594.5946</v>
      </c>
      <c r="L7" s="155">
        <f t="shared" ref="L7:L10" si="2">IFERROR(K7/D7-1,0)</f>
        <v>0</v>
      </c>
      <c r="M7" s="153" t="str">
        <f t="shared" ref="M7:M10" si="3">IF(L7&gt;0,"▲",IF(L7&lt;0, "▼", " "))</f>
        <v> </v>
      </c>
      <c r="N7" s="63">
        <f>VLOOKUP($A6,'Февраль_2025'!$A$100:$M$111,4,0)</f>
        <v>16822.22222</v>
      </c>
      <c r="O7" s="155">
        <f t="shared" ref="O7:O10" si="4">IFERROR(N7/G7-1,0)</f>
        <v>0</v>
      </c>
      <c r="P7" s="156" t="str">
        <f t="shared" ref="P7:P10" si="5">IF(O7&gt;0,"▲",IF(O7&lt;0, "▼", " "))</f>
        <v> </v>
      </c>
      <c r="Q7" s="62">
        <f>VLOOKUP($A6,'Март_2025'!$A$100:$M$111,2,0)</f>
        <v>0.1446015424</v>
      </c>
      <c r="R7" s="63">
        <f>VLOOKUP($A6,'Март_2025'!$A$100:$M$111,3,0)</f>
        <v>180434.7826</v>
      </c>
      <c r="S7" s="155">
        <f t="shared" ref="S7:S10" si="6">IFERROR(R7/K7-1,0)</f>
        <v>-0.1180862673</v>
      </c>
      <c r="T7" s="153" t="str">
        <f t="shared" ref="T7:T10" si="7">IF(S7&gt;0,"▲",IF(S7&lt;0, "▼", " "))</f>
        <v>▼</v>
      </c>
      <c r="U7" s="63">
        <f>VLOOKUP($A6,'Март_2025'!$A$100:$M$111,4,0)</f>
        <v>18444.44444</v>
      </c>
      <c r="V7" s="155">
        <f t="shared" ref="V7:V10" si="8">IFERROR(U7/N7-1,0)</f>
        <v>0.0964332893</v>
      </c>
      <c r="W7" s="156" t="str">
        <f t="shared" ref="W7:W10" si="9">IF(V7&gt;0,"▲",IF(V7&lt;0, "▼", " "))</f>
        <v>▲</v>
      </c>
      <c r="X7" s="62">
        <f>VLOOKUP($A6,'Апрель_2025'!$A$100:$M$111,2,0)</f>
        <v>0.1446015424</v>
      </c>
      <c r="Y7" s="63">
        <f>VLOOKUP($A6,'Апрель_2025'!$A$100:$M$111,3,0)</f>
        <v>184883.7209</v>
      </c>
      <c r="Z7" s="155">
        <f t="shared" ref="Z7:Z10" si="10">IFERROR(Y7/R7-1,0)</f>
        <v>0.0246567666</v>
      </c>
      <c r="AA7" s="153" t="str">
        <f t="shared" ref="AA7:AA10" si="11">IF(Z7&gt;0,"▲",IF(Z7&lt;0, "▼", " "))</f>
        <v>▲</v>
      </c>
      <c r="AB7" s="63">
        <f>VLOOKUP($A6,'Апрель_2025'!$A$100:$M$111,4,0)</f>
        <v>17666.66667</v>
      </c>
      <c r="AC7" s="155">
        <f t="shared" ref="AC7:AC10" si="12">IFERROR(AB7/U7-1,0)</f>
        <v>-0.0421686747</v>
      </c>
      <c r="AD7" s="156" t="str">
        <f t="shared" ref="AD7:AD10" si="13">IF(AC7&gt;0,"▲",IF(AC7&lt;0, "▼", " "))</f>
        <v>▼</v>
      </c>
      <c r="AE7" s="62">
        <f>VLOOKUP($A6,'Май_2025'!$A$100:$M$111,2,0)</f>
        <v>0.1446015424</v>
      </c>
      <c r="AF7" s="63">
        <f>VLOOKUP($A6,'Май_2025'!$A$100:$M$111,3,0)</f>
        <v>208809.5238</v>
      </c>
      <c r="AG7" s="155">
        <f t="shared" ref="AG7:AG10" si="14">IFERROR(AF7/Y7-1,0)</f>
        <v>0.129410003</v>
      </c>
      <c r="AH7" s="153" t="str">
        <f t="shared" ref="AH7:AH10" si="15">IF(AG7&gt;0,"▲",IF(AG7&lt;0, "▼", " "))</f>
        <v>▲</v>
      </c>
      <c r="AI7" s="63">
        <f>VLOOKUP($A6,'Май_2025'!$A$100:$M$111,4,0)</f>
        <v>19488.88889</v>
      </c>
      <c r="AJ7" s="155">
        <f t="shared" ref="AJ7:AJ10" si="16">IFERROR(AI7/AB7-1,0)</f>
        <v>0.1031446541</v>
      </c>
      <c r="AK7" s="156" t="str">
        <f t="shared" ref="AK7:AK10" si="17">IF(AJ7&gt;0,"▲",IF(AJ7&lt;0, "▼", " "))</f>
        <v>▲</v>
      </c>
      <c r="AL7" s="62">
        <f>VLOOKUP($A6,'Июнь_2025'!$A$100:$M$111,2,0)</f>
        <v>0.1446015424</v>
      </c>
      <c r="AM7" s="63">
        <f>VLOOKUP($A6,'Июнь_2025'!$A$100:$M$111,3,0)</f>
        <v>430000</v>
      </c>
      <c r="AN7" s="155">
        <f t="shared" ref="AN7:AN10" si="18">IFERROR(AM7/AF7-1,0)</f>
        <v>1.059293044</v>
      </c>
      <c r="AO7" s="153" t="str">
        <f t="shared" ref="AO7:AO10" si="19">IF(AN7&gt;0,"▲",IF(AN7&lt;0, "▼", " "))</f>
        <v>▲</v>
      </c>
      <c r="AP7" s="63">
        <f>VLOOKUP($A6,'Июнь_2025'!$A$100:$M$111,4,0)</f>
        <v>33444.44444</v>
      </c>
      <c r="AQ7" s="155">
        <f t="shared" ref="AQ7:AQ10" si="20">IFERROR(AP7/AI7-1,0)</f>
        <v>0.7160775371</v>
      </c>
      <c r="AR7" s="156" t="str">
        <f t="shared" ref="AR7:AR10" si="21">IF(AQ7&gt;0,"▲",IF(AQ7&lt;0, "▼", " "))</f>
        <v>▲</v>
      </c>
    </row>
    <row r="8">
      <c r="A8" s="157" t="s">
        <v>9</v>
      </c>
      <c r="B8" s="69"/>
      <c r="C8" s="62">
        <f>VLOOKUP($A6,'Январь_2025'!$A$100:$M$111,5,0)</f>
        <v>0.1659007353</v>
      </c>
      <c r="D8" s="63">
        <f>VLOOKUP($A6,'Январь_2025'!$A$100:$M$111,6,0)</f>
        <v>156828.125</v>
      </c>
      <c r="E8" s="152"/>
      <c r="F8" s="153" t="str">
        <f t="shared" si="1"/>
        <v> </v>
      </c>
      <c r="G8" s="63">
        <f>VLOOKUP($A6,'Январь_2025'!$A$100:$M$111,7,0)</f>
        <v>13901.66205</v>
      </c>
      <c r="H8" s="152"/>
      <c r="I8" s="154"/>
      <c r="J8" s="62">
        <f>VLOOKUP($A6,'Февраль_2025'!$A$100:$M$111,5,0)</f>
        <v>0.1659007353</v>
      </c>
      <c r="K8" s="63">
        <f>VLOOKUP($A6,'Февраль_2025'!$A$100:$M$111,6,0)</f>
        <v>131071.4286</v>
      </c>
      <c r="L8" s="155">
        <f t="shared" si="2"/>
        <v>-0.164235187</v>
      </c>
      <c r="M8" s="153" t="str">
        <f t="shared" si="3"/>
        <v>▼</v>
      </c>
      <c r="N8" s="63">
        <f>VLOOKUP($A6,'Февраль_2025'!$A$100:$M$111,7,0)</f>
        <v>10166.20499</v>
      </c>
      <c r="O8" s="155">
        <f t="shared" si="4"/>
        <v>-0.2687057886</v>
      </c>
      <c r="P8" s="156" t="str">
        <f t="shared" si="5"/>
        <v>▼</v>
      </c>
      <c r="Q8" s="62">
        <f>VLOOKUP($A6,'Март_2025'!$A$100:$M$111,5,0)</f>
        <v>0.1659007353</v>
      </c>
      <c r="R8" s="63">
        <f>VLOOKUP($A6,'Март_2025'!$A$100:$M$111,6,0)</f>
        <v>135814.2857</v>
      </c>
      <c r="S8" s="155">
        <f t="shared" si="6"/>
        <v>0.0361852861</v>
      </c>
      <c r="T8" s="153" t="str">
        <f t="shared" si="7"/>
        <v>▲</v>
      </c>
      <c r="U8" s="63">
        <f>VLOOKUP($A6,'Март_2025'!$A$100:$M$111,7,0)</f>
        <v>13167.59003</v>
      </c>
      <c r="V8" s="155">
        <f t="shared" si="8"/>
        <v>0.2952316076</v>
      </c>
      <c r="W8" s="156" t="str">
        <f t="shared" si="9"/>
        <v>▲</v>
      </c>
      <c r="X8" s="62">
        <f>VLOOKUP($A6,'Апрель_2025'!$A$100:$M$111,5,0)</f>
        <v>0.1659007353</v>
      </c>
      <c r="Y8" s="63">
        <f>VLOOKUP($A6,'Апрель_2025'!$A$100:$M$111,6,0)</f>
        <v>156828.125</v>
      </c>
      <c r="Z8" s="155">
        <f t="shared" si="10"/>
        <v>0.154724808</v>
      </c>
      <c r="AA8" s="153" t="str">
        <f t="shared" si="11"/>
        <v>▲</v>
      </c>
      <c r="AB8" s="63">
        <f>VLOOKUP($A6,'Апрель_2025'!$A$100:$M$111,7,0)</f>
        <v>13901.66205</v>
      </c>
      <c r="AC8" s="155">
        <f t="shared" si="12"/>
        <v>0.05574839592</v>
      </c>
      <c r="AD8" s="156" t="str">
        <f t="shared" si="13"/>
        <v>▲</v>
      </c>
      <c r="AE8" s="62">
        <f>VLOOKUP($A6,'Май_2025'!$A$100:$M$111,5,0)</f>
        <v>0.1659007353</v>
      </c>
      <c r="AF8" s="63">
        <f>VLOOKUP($A6,'Май_2025'!$A$100:$M$111,6,0)</f>
        <v>140428.5714</v>
      </c>
      <c r="AG8" s="155">
        <f t="shared" si="14"/>
        <v>-0.104570233</v>
      </c>
      <c r="AH8" s="153" t="str">
        <f t="shared" si="15"/>
        <v>▼</v>
      </c>
      <c r="AI8" s="63">
        <f>VLOOKUP($A6,'Май_2025'!$A$100:$M$111,7,0)</f>
        <v>13614.95845</v>
      </c>
      <c r="AJ8" s="155">
        <f t="shared" si="16"/>
        <v>-0.02062369234</v>
      </c>
      <c r="AK8" s="156" t="str">
        <f t="shared" si="17"/>
        <v>▼</v>
      </c>
      <c r="AL8" s="62">
        <f>VLOOKUP($A6,'Июнь_2025'!$A$100:$M$111,5,0)</f>
        <v>0.1659007353</v>
      </c>
      <c r="AM8" s="63">
        <f>VLOOKUP($A6,'Июнь_2025'!$A$100:$M$111,6,0)</f>
        <v>156828.125</v>
      </c>
      <c r="AN8" s="155">
        <f t="shared" si="18"/>
        <v>0.1167821719</v>
      </c>
      <c r="AO8" s="153" t="str">
        <f t="shared" si="19"/>
        <v>▲</v>
      </c>
      <c r="AP8" s="63">
        <f>VLOOKUP($A6,'Июнь_2025'!$A$100:$M$111,7,0)</f>
        <v>13901.66205</v>
      </c>
      <c r="AQ8" s="155">
        <f t="shared" si="20"/>
        <v>0.02105798576</v>
      </c>
      <c r="AR8" s="156" t="str">
        <f t="shared" si="21"/>
        <v>▲</v>
      </c>
    </row>
    <row r="9">
      <c r="A9" s="157" t="s">
        <v>13</v>
      </c>
      <c r="B9" s="69"/>
      <c r="C9" s="62">
        <f>VLOOKUP($A6,'Январь_2025'!$A$100:$M$111,8,0)</f>
        <v>0.1725067385</v>
      </c>
      <c r="D9" s="63">
        <f>VLOOKUP($A6,'Январь_2025'!$A$100:$M$111,9,0)</f>
        <v>223448.2759</v>
      </c>
      <c r="E9" s="152"/>
      <c r="F9" s="153" t="str">
        <f t="shared" si="1"/>
        <v> </v>
      </c>
      <c r="G9" s="63">
        <f>VLOOKUP($A6,'Январь_2025'!$A$100:$M$111,10,0)</f>
        <v>20250</v>
      </c>
      <c r="H9" s="152"/>
      <c r="I9" s="154"/>
      <c r="J9" s="62">
        <f>VLOOKUP($A6,'Февраль_2025'!$A$100:$M$111,8,0)</f>
        <v>0.1725067385</v>
      </c>
      <c r="K9" s="63">
        <f>VLOOKUP($A6,'Февраль_2025'!$A$100:$M$111,9,0)</f>
        <v>116428.5714</v>
      </c>
      <c r="L9" s="155">
        <f t="shared" si="2"/>
        <v>-0.4789462081</v>
      </c>
      <c r="M9" s="153" t="str">
        <f t="shared" si="3"/>
        <v>▼</v>
      </c>
      <c r="N9" s="63">
        <f>VLOOKUP($A6,'Февраль_2025'!$A$100:$M$111,10,0)</f>
        <v>10187.5</v>
      </c>
      <c r="O9" s="155">
        <f t="shared" si="4"/>
        <v>-0.4969135802</v>
      </c>
      <c r="P9" s="156" t="str">
        <f t="shared" si="5"/>
        <v>▼</v>
      </c>
      <c r="Q9" s="62">
        <f>VLOOKUP($A6,'Март_2025'!$A$100:$M$111,8,0)</f>
        <v>0.1725067385</v>
      </c>
      <c r="R9" s="63">
        <f>VLOOKUP($A6,'Март_2025'!$A$100:$M$111,9,0)</f>
        <v>205937.5</v>
      </c>
      <c r="S9" s="155">
        <f t="shared" si="6"/>
        <v>0.7687883436</v>
      </c>
      <c r="T9" s="153" t="str">
        <f t="shared" si="7"/>
        <v>▲</v>
      </c>
      <c r="U9" s="63">
        <f>VLOOKUP($A6,'Март_2025'!$A$100:$M$111,10,0)</f>
        <v>20593.75</v>
      </c>
      <c r="V9" s="155">
        <f t="shared" si="8"/>
        <v>1.021472393</v>
      </c>
      <c r="W9" s="156" t="str">
        <f t="shared" si="9"/>
        <v>▲</v>
      </c>
      <c r="X9" s="62">
        <f>VLOOKUP($A6,'Апрель_2025'!$A$100:$M$111,8,0)</f>
        <v>0.1725067385</v>
      </c>
      <c r="Y9" s="63">
        <f>VLOOKUP($A6,'Апрель_2025'!$A$100:$M$111,9,0)</f>
        <v>223448.2759</v>
      </c>
      <c r="Z9" s="155">
        <f t="shared" si="10"/>
        <v>0.08502956413</v>
      </c>
      <c r="AA9" s="153" t="str">
        <f t="shared" si="11"/>
        <v>▲</v>
      </c>
      <c r="AB9" s="63">
        <f>VLOOKUP($A6,'Апрель_2025'!$A$100:$M$111,10,0)</f>
        <v>20250</v>
      </c>
      <c r="AC9" s="155">
        <f t="shared" si="12"/>
        <v>-0.01669195751</v>
      </c>
      <c r="AD9" s="156" t="str">
        <f t="shared" si="13"/>
        <v>▼</v>
      </c>
      <c r="AE9" s="62">
        <f>VLOOKUP($A6,'Май_2025'!$A$100:$M$111,8,0)</f>
        <v>0.1725067385</v>
      </c>
      <c r="AF9" s="63">
        <f>VLOOKUP($A6,'Май_2025'!$A$100:$M$111,9,0)</f>
        <v>223448.2759</v>
      </c>
      <c r="AG9" s="155">
        <f t="shared" si="14"/>
        <v>0</v>
      </c>
      <c r="AH9" s="153" t="str">
        <f t="shared" si="15"/>
        <v> </v>
      </c>
      <c r="AI9" s="63">
        <f>VLOOKUP($A6,'Май_2025'!$A$100:$M$111,10,0)</f>
        <v>20250</v>
      </c>
      <c r="AJ9" s="155">
        <f t="shared" si="16"/>
        <v>0</v>
      </c>
      <c r="AK9" s="156" t="str">
        <f t="shared" si="17"/>
        <v> </v>
      </c>
      <c r="AL9" s="62">
        <f>VLOOKUP($A6,'Июнь_2025'!$A$100:$M$111,8,0)</f>
        <v>0.1725067385</v>
      </c>
      <c r="AM9" s="63">
        <f>VLOOKUP($A6,'Июнь_2025'!$A$100:$M$111,9,0)</f>
        <v>175483.871</v>
      </c>
      <c r="AN9" s="155">
        <f t="shared" si="18"/>
        <v>-0.2146555157</v>
      </c>
      <c r="AO9" s="153" t="str">
        <f t="shared" si="19"/>
        <v>▼</v>
      </c>
      <c r="AP9" s="63">
        <f>VLOOKUP($A6,'Июнь_2025'!$A$100:$M$111,10,0)</f>
        <v>17000</v>
      </c>
      <c r="AQ9" s="155">
        <f t="shared" si="20"/>
        <v>-0.1604938272</v>
      </c>
      <c r="AR9" s="156" t="str">
        <f t="shared" si="21"/>
        <v>▼</v>
      </c>
    </row>
    <row r="10">
      <c r="A10" s="151" t="s">
        <v>19</v>
      </c>
      <c r="B10" s="69"/>
      <c r="C10" s="62">
        <f>VLOOKUP($A6,'Январь_2025'!$A$100:$M$111,11,0)</f>
        <v>0.1459227468</v>
      </c>
      <c r="D10" s="63">
        <f>VLOOKUP($A6,'Январь_2025'!$A$100:$M$111,12,0)</f>
        <v>191489.3617</v>
      </c>
      <c r="E10" s="152"/>
      <c r="F10" s="153" t="str">
        <f t="shared" si="1"/>
        <v> </v>
      </c>
      <c r="G10" s="63">
        <f>VLOOKUP($A6,'Январь_2025'!$A$100:$M$111,13,0)</f>
        <v>26470.58824</v>
      </c>
      <c r="H10" s="152"/>
      <c r="I10" s="154"/>
      <c r="J10" s="62">
        <f>VLOOKUP($A6,'Февраль_2025'!$A$100:$M$111,11,0)</f>
        <v>0.1459227468</v>
      </c>
      <c r="K10" s="63">
        <f>VLOOKUP($A6,'Февраль_2025'!$A$100:$M$111,12,0)</f>
        <v>177659.5745</v>
      </c>
      <c r="L10" s="155">
        <f t="shared" si="2"/>
        <v>-0.07222222222</v>
      </c>
      <c r="M10" s="153" t="str">
        <f t="shared" si="3"/>
        <v>▼</v>
      </c>
      <c r="N10" s="63">
        <f>VLOOKUP($A6,'Февраль_2025'!$A$100:$M$111,13,0)</f>
        <v>24558.82353</v>
      </c>
      <c r="O10" s="155">
        <f t="shared" si="4"/>
        <v>-0.07222222222</v>
      </c>
      <c r="P10" s="156" t="str">
        <f t="shared" si="5"/>
        <v>▼</v>
      </c>
      <c r="Q10" s="62">
        <f>VLOOKUP($A6,'Март_2025'!$A$100:$M$111,11,0)</f>
        <v>0.1459227468</v>
      </c>
      <c r="R10" s="63">
        <f>VLOOKUP($A6,'Март_2025'!$A$100:$M$111,12,0)</f>
        <v>171428.5714</v>
      </c>
      <c r="S10" s="155">
        <f t="shared" si="6"/>
        <v>-0.03507271172</v>
      </c>
      <c r="T10" s="153" t="str">
        <f t="shared" si="7"/>
        <v>▼</v>
      </c>
      <c r="U10" s="63">
        <f>VLOOKUP($A6,'Март_2025'!$A$100:$M$111,13,0)</f>
        <v>24705.88235</v>
      </c>
      <c r="V10" s="155">
        <f t="shared" si="8"/>
        <v>0.005988023952</v>
      </c>
      <c r="W10" s="156" t="str">
        <f t="shared" si="9"/>
        <v>▲</v>
      </c>
      <c r="X10" s="62">
        <f>VLOOKUP($A6,'Апрель_2025'!$A$100:$M$111,11,0)</f>
        <v>0.1459227468</v>
      </c>
      <c r="Y10" s="63">
        <f>VLOOKUP($A6,'Апрель_2025'!$A$100:$M$111,12,0)</f>
        <v>191489.3617</v>
      </c>
      <c r="Z10" s="155">
        <f t="shared" si="10"/>
        <v>0.1170212766</v>
      </c>
      <c r="AA10" s="153" t="str">
        <f t="shared" si="11"/>
        <v>▲</v>
      </c>
      <c r="AB10" s="63">
        <f>VLOOKUP($A6,'Апрель_2025'!$A$100:$M$111,13,0)</f>
        <v>26470.58824</v>
      </c>
      <c r="AC10" s="155">
        <f t="shared" si="12"/>
        <v>0.07142857143</v>
      </c>
      <c r="AD10" s="156" t="str">
        <f t="shared" si="13"/>
        <v>▲</v>
      </c>
      <c r="AE10" s="62">
        <f>VLOOKUP($A6,'Май_2025'!$A$100:$M$111,11,0)</f>
        <v>0.1459227468</v>
      </c>
      <c r="AF10" s="63">
        <f>VLOOKUP($A6,'Май_2025'!$A$100:$M$111,12,0)</f>
        <v>191489.3617</v>
      </c>
      <c r="AG10" s="155">
        <f t="shared" si="14"/>
        <v>0</v>
      </c>
      <c r="AH10" s="153" t="str">
        <f t="shared" si="15"/>
        <v> </v>
      </c>
      <c r="AI10" s="63">
        <f>VLOOKUP($A6,'Май_2025'!$A$100:$M$111,13,0)</f>
        <v>26470.58824</v>
      </c>
      <c r="AJ10" s="155">
        <f t="shared" si="16"/>
        <v>0</v>
      </c>
      <c r="AK10" s="156" t="str">
        <f t="shared" si="17"/>
        <v> </v>
      </c>
      <c r="AL10" s="62">
        <f>VLOOKUP($A6,'Июнь_2025'!$A$100:$M$111,11,0)</f>
        <v>0.1459227468</v>
      </c>
      <c r="AM10" s="63">
        <f>VLOOKUP($A6,'Июнь_2025'!$A$100:$M$111,12,0)</f>
        <v>191489.3617</v>
      </c>
      <c r="AN10" s="155">
        <f t="shared" si="18"/>
        <v>0</v>
      </c>
      <c r="AO10" s="153" t="str">
        <f t="shared" si="19"/>
        <v> </v>
      </c>
      <c r="AP10" s="63">
        <f>VLOOKUP($A6,'Июнь_2025'!$A$100:$M$111,13,0)</f>
        <v>26470.58824</v>
      </c>
      <c r="AQ10" s="155">
        <f t="shared" si="20"/>
        <v>0</v>
      </c>
      <c r="AR10" s="156" t="str">
        <f t="shared" si="21"/>
        <v> </v>
      </c>
    </row>
    <row r="11">
      <c r="A11" s="158"/>
      <c r="B11" s="69"/>
      <c r="C11" s="97"/>
      <c r="D11" s="97"/>
      <c r="E11" s="94"/>
      <c r="F11" s="94"/>
      <c r="G11" s="94"/>
      <c r="H11" s="94"/>
      <c r="I11" s="150"/>
      <c r="J11" s="97"/>
      <c r="K11" s="97"/>
      <c r="L11" s="155"/>
      <c r="M11" s="153"/>
      <c r="N11" s="94"/>
      <c r="O11" s="155"/>
      <c r="P11" s="156"/>
      <c r="Q11" s="97"/>
      <c r="R11" s="97"/>
      <c r="S11" s="155"/>
      <c r="T11" s="153"/>
      <c r="U11" s="94"/>
      <c r="V11" s="155"/>
      <c r="W11" s="156"/>
      <c r="X11" s="97"/>
      <c r="Y11" s="97"/>
      <c r="Z11" s="155"/>
      <c r="AA11" s="153"/>
      <c r="AB11" s="94"/>
      <c r="AC11" s="155"/>
      <c r="AD11" s="156"/>
      <c r="AE11" s="97"/>
      <c r="AF11" s="97"/>
      <c r="AG11" s="155"/>
      <c r="AH11" s="153"/>
      <c r="AI11" s="94"/>
      <c r="AJ11" s="155"/>
      <c r="AK11" s="156"/>
      <c r="AL11" s="97"/>
      <c r="AM11" s="97"/>
      <c r="AN11" s="155"/>
      <c r="AO11" s="153"/>
      <c r="AP11" s="94"/>
      <c r="AQ11" s="155"/>
      <c r="AR11" s="156"/>
    </row>
    <row r="12">
      <c r="A12" s="149" t="s">
        <v>93</v>
      </c>
      <c r="B12" s="69"/>
      <c r="D12" s="97"/>
      <c r="E12" s="94"/>
      <c r="F12" s="94"/>
      <c r="G12" s="94"/>
      <c r="H12" s="94"/>
      <c r="I12" s="150"/>
      <c r="K12" s="97"/>
      <c r="L12" s="155"/>
      <c r="M12" s="153"/>
      <c r="N12" s="94"/>
      <c r="O12" s="155"/>
      <c r="P12" s="156"/>
      <c r="R12" s="97"/>
      <c r="S12" s="155"/>
      <c r="T12" s="153"/>
      <c r="U12" s="94"/>
      <c r="V12" s="155"/>
      <c r="W12" s="156"/>
      <c r="Y12" s="97"/>
      <c r="Z12" s="155"/>
      <c r="AA12" s="153"/>
      <c r="AB12" s="94"/>
      <c r="AC12" s="155"/>
      <c r="AD12" s="156"/>
      <c r="AF12" s="97"/>
      <c r="AG12" s="155"/>
      <c r="AH12" s="153"/>
      <c r="AI12" s="94"/>
      <c r="AJ12" s="155"/>
      <c r="AK12" s="156"/>
      <c r="AM12" s="97"/>
      <c r="AN12" s="155"/>
      <c r="AO12" s="153"/>
      <c r="AP12" s="94"/>
      <c r="AQ12" s="155"/>
      <c r="AR12" s="156"/>
    </row>
    <row r="13">
      <c r="A13" s="151" t="s">
        <v>16</v>
      </c>
      <c r="B13" s="69"/>
      <c r="C13" s="62">
        <f>VLOOKUP($A12,'Январь_2025'!$A$100:$M$111,2,0)</f>
        <v>0.2008354756</v>
      </c>
      <c r="D13" s="63">
        <f>VLOOKUP($A12,'Январь_2025'!$A$100:$M$111,3,0)</f>
        <v>68156.02837</v>
      </c>
      <c r="E13" s="152"/>
      <c r="F13" s="153" t="str">
        <f t="shared" ref="F13:F16" si="22">IF(E13&gt;0,"▲",IF(E13&lt;0, "▼", " "))</f>
        <v> </v>
      </c>
      <c r="G13" s="63">
        <f>VLOOKUP($A12,'Январь_2025'!$A$100:$M$111,4,0)</f>
        <v>15376</v>
      </c>
      <c r="H13" s="94"/>
      <c r="I13" s="150"/>
      <c r="J13" s="62">
        <f>VLOOKUP($A12,'Февраль_2025'!$A$100:$M$111,2,0)</f>
        <v>0.2008354756</v>
      </c>
      <c r="K13" s="63">
        <f>VLOOKUP($A12,'Февраль_2025'!$A$100:$M$111,3,0)</f>
        <v>58794.32624</v>
      </c>
      <c r="L13" s="155">
        <f t="shared" ref="L13:L16" si="23">IFERROR(K13/D13-1,0)</f>
        <v>-0.1373569199</v>
      </c>
      <c r="M13" s="153" t="str">
        <f t="shared" ref="M13:M16" si="24">IF(L13&gt;0,"▲",IF(L13&lt;0, "▼", " "))</f>
        <v>▼</v>
      </c>
      <c r="N13" s="63">
        <f>VLOOKUP($A12,'Февраль_2025'!$A$100:$M$111,4,0)</f>
        <v>13264</v>
      </c>
      <c r="O13" s="155">
        <f t="shared" ref="O13:O16" si="25">IFERROR(N13/G13-1,0)</f>
        <v>-0.1373569199</v>
      </c>
      <c r="P13" s="156" t="str">
        <f t="shared" ref="P13:P16" si="26">IF(O13&gt;0,"▲",IF(O13&lt;0, "▼", " "))</f>
        <v>▼</v>
      </c>
      <c r="Q13" s="62">
        <f>VLOOKUP($A12,'Март_2025'!$A$100:$M$111,2,0)</f>
        <v>0.2008354756</v>
      </c>
      <c r="R13" s="63">
        <f>VLOOKUP($A12,'Март_2025'!$A$100:$M$111,3,0)</f>
        <v>67777.77778</v>
      </c>
      <c r="S13" s="155">
        <f t="shared" ref="S13:S16" si="27">IFERROR(R13/K13-1,0)</f>
        <v>0.1527945316</v>
      </c>
      <c r="T13" s="153" t="str">
        <f t="shared" ref="T13:T16" si="28">IF(S13&gt;0,"▲",IF(S13&lt;0, "▼", " "))</f>
        <v>▲</v>
      </c>
      <c r="U13" s="63">
        <f>VLOOKUP($A12,'Март_2025'!$A$100:$M$111,4,0)</f>
        <v>15616</v>
      </c>
      <c r="V13" s="155">
        <f t="shared" ref="V13:V16" si="29">IFERROR(U13/N13-1,0)</f>
        <v>0.1773220748</v>
      </c>
      <c r="W13" s="156" t="str">
        <f t="shared" ref="W13:W16" si="30">IF(V13&gt;0,"▲",IF(V13&lt;0, "▼", " "))</f>
        <v>▲</v>
      </c>
      <c r="X13" s="62">
        <f>VLOOKUP($A12,'Апрель_2025'!$A$100:$M$111,2,0)</f>
        <v>0.2008354756</v>
      </c>
      <c r="Y13" s="63">
        <f>VLOOKUP($A12,'Апрель_2025'!$A$100:$M$111,3,0)</f>
        <v>69280</v>
      </c>
      <c r="Z13" s="155">
        <f t="shared" ref="Z13:Z16" si="31">IFERROR(Y13/R13-1,0)</f>
        <v>0.02216393443</v>
      </c>
      <c r="AA13" s="153" t="str">
        <f t="shared" ref="AA13:AA16" si="32">IF(Z13&gt;0,"▲",IF(Z13&lt;0, "▼", " "))</f>
        <v>▲</v>
      </c>
      <c r="AB13" s="63">
        <f>VLOOKUP($A12,'Апрель_2025'!$A$100:$M$111,4,0)</f>
        <v>13856</v>
      </c>
      <c r="AC13" s="155">
        <f t="shared" ref="AC13:AC16" si="33">IFERROR(AB13/U13-1,0)</f>
        <v>-0.112704918</v>
      </c>
      <c r="AD13" s="156" t="str">
        <f t="shared" ref="AD13:AD16" si="34">IF(AC13&gt;0,"▲",IF(AC13&lt;0, "▼", " "))</f>
        <v>▼</v>
      </c>
      <c r="AE13" s="62">
        <f>VLOOKUP($A12,'Май_2025'!$A$100:$M$111,2,0)</f>
        <v>0.2008354756</v>
      </c>
      <c r="AF13" s="63">
        <f>VLOOKUP($A12,'Май_2025'!$A$100:$M$111,3,0)</f>
        <v>68156.02837</v>
      </c>
      <c r="AG13" s="155">
        <f t="shared" ref="AG13:AG16" si="35">IFERROR(AF13/Y13-1,0)</f>
        <v>-0.016223609</v>
      </c>
      <c r="AH13" s="153" t="str">
        <f t="shared" ref="AH13:AH16" si="36">IF(AG13&gt;0,"▲",IF(AG13&lt;0, "▼", " "))</f>
        <v>▼</v>
      </c>
      <c r="AI13" s="63">
        <f>VLOOKUP($A12,'Май_2025'!$A$100:$M$111,4,0)</f>
        <v>15376</v>
      </c>
      <c r="AJ13" s="155">
        <f t="shared" ref="AJ13:AJ16" si="37">IFERROR(AI13/AB13-1,0)</f>
        <v>0.1096997691</v>
      </c>
      <c r="AK13" s="156" t="str">
        <f t="shared" ref="AK13:AK16" si="38">IF(AJ13&gt;0,"▲",IF(AJ13&lt;0, "▼", " "))</f>
        <v>▲</v>
      </c>
      <c r="AL13" s="62">
        <f>VLOOKUP($A12,'Июнь_2025'!$A$100:$M$111,2,0)</f>
        <v>0.2008354756</v>
      </c>
      <c r="AM13" s="63">
        <f>VLOOKUP($A12,'Июнь_2025'!$A$100:$M$111,3,0)</f>
        <v>67910.44776</v>
      </c>
      <c r="AN13" s="155">
        <f t="shared" ref="AN13:AN16" si="39">IFERROR(AM13/AF13-1,0)</f>
        <v>-0.003603211828</v>
      </c>
      <c r="AO13" s="153" t="str">
        <f t="shared" ref="AO13:AO16" si="40">IF(AN13&gt;0,"▲",IF(AN13&lt;0, "▼", " "))</f>
        <v>▼</v>
      </c>
      <c r="AP13" s="63">
        <f>VLOOKUP($A12,'Июнь_2025'!$A$100:$M$111,4,0)</f>
        <v>14560</v>
      </c>
      <c r="AQ13" s="155">
        <f t="shared" ref="AQ13:AQ16" si="41">IFERROR(AP13/AI13-1,0)</f>
        <v>-0.05306971904</v>
      </c>
      <c r="AR13" s="156" t="str">
        <f t="shared" ref="AR13:AR16" si="42">IF(AQ13&gt;0,"▲",IF(AQ13&lt;0, "▼", " "))</f>
        <v>▼</v>
      </c>
    </row>
    <row r="14">
      <c r="A14" s="157" t="s">
        <v>9</v>
      </c>
      <c r="B14" s="69"/>
      <c r="C14" s="62">
        <f>VLOOKUP($A12,'Январь_2025'!$A$100:$M$111,5,0)</f>
        <v>0.1930147059</v>
      </c>
      <c r="D14" s="63">
        <f>VLOOKUP($A12,'Январь_2025'!$A$100:$M$111,6,0)</f>
        <v>75590.55118</v>
      </c>
      <c r="E14" s="152"/>
      <c r="F14" s="153" t="str">
        <f t="shared" si="22"/>
        <v> </v>
      </c>
      <c r="G14" s="63">
        <f>VLOOKUP($A12,'Январь_2025'!$A$100:$M$111,7,0)</f>
        <v>22857.14286</v>
      </c>
      <c r="H14" s="94"/>
      <c r="I14" s="150"/>
      <c r="J14" s="62">
        <f>VLOOKUP($A12,'Февраль_2025'!$A$100:$M$111,5,0)</f>
        <v>0.1930147059</v>
      </c>
      <c r="K14" s="63">
        <f>VLOOKUP($A12,'Февраль_2025'!$A$100:$M$111,6,0)</f>
        <v>64841.26984</v>
      </c>
      <c r="L14" s="155">
        <f t="shared" si="23"/>
        <v>-0.1422040344</v>
      </c>
      <c r="M14" s="153" t="str">
        <f t="shared" si="24"/>
        <v>▼</v>
      </c>
      <c r="N14" s="63">
        <f>VLOOKUP($A12,'Февраль_2025'!$A$100:$M$111,7,0)</f>
        <v>19452.38095</v>
      </c>
      <c r="O14" s="155">
        <f t="shared" si="25"/>
        <v>-0.1489583333</v>
      </c>
      <c r="P14" s="156" t="str">
        <f t="shared" si="26"/>
        <v>▼</v>
      </c>
      <c r="Q14" s="62">
        <f>VLOOKUP($A12,'Март_2025'!$A$100:$M$111,5,0)</f>
        <v>0.1930147059</v>
      </c>
      <c r="R14" s="63">
        <f>VLOOKUP($A12,'Март_2025'!$A$100:$M$111,6,0)</f>
        <v>69685.03937</v>
      </c>
      <c r="S14" s="155">
        <f t="shared" si="27"/>
        <v>0.07470195357</v>
      </c>
      <c r="T14" s="153" t="str">
        <f t="shared" si="28"/>
        <v>▲</v>
      </c>
      <c r="U14" s="63">
        <f>VLOOKUP($A12,'Март_2025'!$A$100:$M$111,7,0)</f>
        <v>21071.42857</v>
      </c>
      <c r="V14" s="155">
        <f t="shared" si="29"/>
        <v>0.08323133415</v>
      </c>
      <c r="W14" s="156" t="str">
        <f t="shared" si="30"/>
        <v>▲</v>
      </c>
      <c r="X14" s="62">
        <f>VLOOKUP($A12,'Апрель_2025'!$A$100:$M$111,5,0)</f>
        <v>0.1930147059</v>
      </c>
      <c r="Y14" s="63">
        <f>VLOOKUP($A12,'Апрель_2025'!$A$100:$M$111,6,0)</f>
        <v>112500</v>
      </c>
      <c r="Z14" s="155">
        <f t="shared" si="31"/>
        <v>0.6144067797</v>
      </c>
      <c r="AA14" s="153" t="str">
        <f t="shared" si="32"/>
        <v>▲</v>
      </c>
      <c r="AB14" s="63">
        <f>VLOOKUP($A12,'Апрель_2025'!$A$100:$M$111,7,0)</f>
        <v>20357.14286</v>
      </c>
      <c r="AC14" s="155">
        <f t="shared" si="33"/>
        <v>-0.03389830508</v>
      </c>
      <c r="AD14" s="156" t="str">
        <f t="shared" si="34"/>
        <v>▼</v>
      </c>
      <c r="AE14" s="62">
        <f>VLOOKUP($A12,'Май_2025'!$A$100:$M$111,5,0)</f>
        <v>0.1930147059</v>
      </c>
      <c r="AF14" s="63">
        <f>VLOOKUP($A12,'Май_2025'!$A$100:$M$111,6,0)</f>
        <v>73834.58647</v>
      </c>
      <c r="AG14" s="155">
        <f t="shared" si="35"/>
        <v>-0.3436925647</v>
      </c>
      <c r="AH14" s="153" t="str">
        <f t="shared" si="36"/>
        <v>▼</v>
      </c>
      <c r="AI14" s="63">
        <f>VLOOKUP($A12,'Май_2025'!$A$100:$M$111,7,0)</f>
        <v>23380.95238</v>
      </c>
      <c r="AJ14" s="155">
        <f t="shared" si="37"/>
        <v>0.1485380117</v>
      </c>
      <c r="AK14" s="156" t="str">
        <f t="shared" si="38"/>
        <v>▲</v>
      </c>
      <c r="AL14" s="62">
        <f>VLOOKUP($A12,'Июнь_2025'!$A$100:$M$111,5,0)</f>
        <v>0.1930147059</v>
      </c>
      <c r="AM14" s="63">
        <f>VLOOKUP($A12,'Июнь_2025'!$A$100:$M$111,6,0)</f>
        <v>83467.74194</v>
      </c>
      <c r="AN14" s="155">
        <f t="shared" si="39"/>
        <v>0.1304694173</v>
      </c>
      <c r="AO14" s="153" t="str">
        <f t="shared" si="40"/>
        <v>▲</v>
      </c>
      <c r="AP14" s="63">
        <f>VLOOKUP($A12,'Июнь_2025'!$A$100:$M$111,7,0)</f>
        <v>24642.85714</v>
      </c>
      <c r="AQ14" s="155">
        <f t="shared" si="41"/>
        <v>0.05397148676</v>
      </c>
      <c r="AR14" s="156" t="str">
        <f t="shared" si="42"/>
        <v>▲</v>
      </c>
    </row>
    <row r="15">
      <c r="A15" s="157" t="s">
        <v>13</v>
      </c>
      <c r="B15" s="69"/>
      <c r="C15" s="62">
        <f>VLOOKUP($A12,'Январь_2025'!$A$100:$M$111,8,0)</f>
        <v>0.269541779</v>
      </c>
      <c r="D15" s="63">
        <f>VLOOKUP($A12,'Январь_2025'!$A$100:$M$111,9,0)</f>
        <v>54598.54015</v>
      </c>
      <c r="E15" s="152"/>
      <c r="F15" s="153" t="str">
        <f t="shared" si="22"/>
        <v> </v>
      </c>
      <c r="G15" s="63">
        <f>VLOOKUP($A12,'Январь_2025'!$A$100:$M$111,10,0)</f>
        <v>14960</v>
      </c>
      <c r="H15" s="94"/>
      <c r="I15" s="150"/>
      <c r="J15" s="62">
        <f>VLOOKUP($A12,'Февраль_2025'!$A$100:$M$111,8,0)</f>
        <v>0.269541779</v>
      </c>
      <c r="K15" s="63">
        <f>VLOOKUP($A12,'Февраль_2025'!$A$100:$M$111,9,0)</f>
        <v>56187.05036</v>
      </c>
      <c r="L15" s="155">
        <f t="shared" si="23"/>
        <v>0.02909437156</v>
      </c>
      <c r="M15" s="153" t="str">
        <f t="shared" si="24"/>
        <v>▲</v>
      </c>
      <c r="N15" s="63">
        <f>VLOOKUP($A12,'Февраль_2025'!$A$100:$M$111,10,0)</f>
        <v>15620</v>
      </c>
      <c r="O15" s="155">
        <f t="shared" si="25"/>
        <v>0.04411764706</v>
      </c>
      <c r="P15" s="156" t="str">
        <f t="shared" si="26"/>
        <v>▲</v>
      </c>
      <c r="Q15" s="62">
        <f>VLOOKUP($A12,'Март_2025'!$A$100:$M$111,8,0)</f>
        <v>0.269541779</v>
      </c>
      <c r="R15" s="63">
        <f>VLOOKUP($A12,'Март_2025'!$A$100:$M$111,9,0)</f>
        <v>52647.05882</v>
      </c>
      <c r="S15" s="155">
        <f t="shared" si="27"/>
        <v>-0.06300369059</v>
      </c>
      <c r="T15" s="153" t="str">
        <f t="shared" si="28"/>
        <v>▼</v>
      </c>
      <c r="U15" s="63">
        <f>VLOOKUP($A12,'Март_2025'!$A$100:$M$111,10,0)</f>
        <v>14320</v>
      </c>
      <c r="V15" s="155">
        <f t="shared" si="29"/>
        <v>-0.08322663252</v>
      </c>
      <c r="W15" s="156" t="str">
        <f t="shared" si="30"/>
        <v>▼</v>
      </c>
      <c r="X15" s="62">
        <f>VLOOKUP($A12,'Апрель_2025'!$A$100:$M$111,8,0)</f>
        <v>0.269541779</v>
      </c>
      <c r="Y15" s="63">
        <f>VLOOKUP($A12,'Апрель_2025'!$A$100:$M$111,9,0)</f>
        <v>56240.6015</v>
      </c>
      <c r="Z15" s="155">
        <f t="shared" si="31"/>
        <v>0.06825723527</v>
      </c>
      <c r="AA15" s="153" t="str">
        <f t="shared" si="32"/>
        <v>▲</v>
      </c>
      <c r="AB15" s="63">
        <f>VLOOKUP($A12,'Апрель_2025'!$A$100:$M$111,10,0)</f>
        <v>14960</v>
      </c>
      <c r="AC15" s="155">
        <f t="shared" si="33"/>
        <v>0.04469273743</v>
      </c>
      <c r="AD15" s="156" t="str">
        <f t="shared" si="34"/>
        <v>▲</v>
      </c>
      <c r="AE15" s="62">
        <f>VLOOKUP($A12,'Май_2025'!$A$100:$M$111,8,0)</f>
        <v>0.269541779</v>
      </c>
      <c r="AF15" s="63">
        <f>VLOOKUP($A12,'Май_2025'!$A$100:$M$111,9,0)</f>
        <v>58059.70149</v>
      </c>
      <c r="AG15" s="155">
        <f t="shared" si="35"/>
        <v>0.03234495969</v>
      </c>
      <c r="AH15" s="153" t="str">
        <f t="shared" si="36"/>
        <v>▲</v>
      </c>
      <c r="AI15" s="63">
        <f>VLOOKUP($A12,'Май_2025'!$A$100:$M$111,10,0)</f>
        <v>15560</v>
      </c>
      <c r="AJ15" s="155">
        <f t="shared" si="37"/>
        <v>0.04010695187</v>
      </c>
      <c r="AK15" s="156" t="str">
        <f t="shared" si="38"/>
        <v>▲</v>
      </c>
      <c r="AL15" s="62">
        <f>VLOOKUP($A12,'Июнь_2025'!$A$100:$M$111,8,0)</f>
        <v>0.269541779</v>
      </c>
      <c r="AM15" s="63">
        <f>VLOOKUP($A12,'Июнь_2025'!$A$100:$M$111,9,0)</f>
        <v>55757.57576</v>
      </c>
      <c r="AN15" s="155">
        <f t="shared" si="39"/>
        <v>-0.0396510088</v>
      </c>
      <c r="AO15" s="153" t="str">
        <f t="shared" si="40"/>
        <v>▼</v>
      </c>
      <c r="AP15" s="63">
        <f>VLOOKUP($A12,'Июнь_2025'!$A$100:$M$111,10,0)</f>
        <v>14720</v>
      </c>
      <c r="AQ15" s="155">
        <f t="shared" si="41"/>
        <v>-0.05398457584</v>
      </c>
      <c r="AR15" s="156" t="str">
        <f t="shared" si="42"/>
        <v>▼</v>
      </c>
    </row>
    <row r="16">
      <c r="A16" s="151" t="s">
        <v>19</v>
      </c>
      <c r="B16" s="69"/>
      <c r="C16" s="62">
        <f>VLOOKUP($A12,'Январь_2025'!$A$100:$M$111,11,0)</f>
        <v>0.1995708155</v>
      </c>
      <c r="D16" s="63">
        <f>VLOOKUP($A12,'Январь_2025'!$A$100:$M$111,12,0)</f>
        <v>42941.17647</v>
      </c>
      <c r="E16" s="152"/>
      <c r="F16" s="153" t="str">
        <f t="shared" si="22"/>
        <v> </v>
      </c>
      <c r="G16" s="63">
        <f>VLOOKUP($A12,'Январь_2025'!$A$100:$M$111,13,0)</f>
        <v>12559.13978</v>
      </c>
      <c r="H16" s="94"/>
      <c r="I16" s="150"/>
      <c r="J16" s="62">
        <f>VLOOKUP($A12,'Февраль_2025'!$A$100:$M$111,11,0)</f>
        <v>0.1995708155</v>
      </c>
      <c r="K16" s="63">
        <f>VLOOKUP($A12,'Февраль_2025'!$A$100:$M$111,12,0)</f>
        <v>47295.08197</v>
      </c>
      <c r="L16" s="155">
        <f t="shared" si="23"/>
        <v>0.1013923198</v>
      </c>
      <c r="M16" s="153" t="str">
        <f t="shared" si="24"/>
        <v>▲</v>
      </c>
      <c r="N16" s="63">
        <f>VLOOKUP($A12,'Февраль_2025'!$A$100:$M$111,13,0)</f>
        <v>12408.60215</v>
      </c>
      <c r="O16" s="155">
        <f t="shared" si="25"/>
        <v>-0.01198630137</v>
      </c>
      <c r="P16" s="156" t="str">
        <f t="shared" si="26"/>
        <v>▼</v>
      </c>
      <c r="Q16" s="62">
        <f>VLOOKUP($A12,'Март_2025'!$A$100:$M$111,11,0)</f>
        <v>0.1995708155</v>
      </c>
      <c r="R16" s="63">
        <f>VLOOKUP($A12,'Март_2025'!$A$100:$M$111,12,0)</f>
        <v>53055.55556</v>
      </c>
      <c r="S16" s="155">
        <f t="shared" si="27"/>
        <v>0.121798575</v>
      </c>
      <c r="T16" s="153" t="str">
        <f t="shared" si="28"/>
        <v>▲</v>
      </c>
      <c r="U16" s="63">
        <f>VLOOKUP($A12,'Март_2025'!$A$100:$M$111,13,0)</f>
        <v>16430.10753</v>
      </c>
      <c r="V16" s="155">
        <f t="shared" si="29"/>
        <v>0.3240901213</v>
      </c>
      <c r="W16" s="156" t="str">
        <f t="shared" si="30"/>
        <v>▲</v>
      </c>
      <c r="X16" s="62">
        <f>VLOOKUP($A12,'Апрель_2025'!$A$100:$M$111,11,0)</f>
        <v>0.1995708155</v>
      </c>
      <c r="Y16" s="63">
        <f>VLOOKUP($A12,'Апрель_2025'!$A$100:$M$111,12,0)</f>
        <v>43467.74194</v>
      </c>
      <c r="Z16" s="155">
        <f t="shared" si="31"/>
        <v>-0.1807127174</v>
      </c>
      <c r="AA16" s="153" t="str">
        <f t="shared" si="32"/>
        <v>▼</v>
      </c>
      <c r="AB16" s="63">
        <f>VLOOKUP($A12,'Апрель_2025'!$A$100:$M$111,13,0)</f>
        <v>11591.39785</v>
      </c>
      <c r="AC16" s="155">
        <f t="shared" si="33"/>
        <v>-0.2945026178</v>
      </c>
      <c r="AD16" s="156" t="str">
        <f t="shared" si="34"/>
        <v>▼</v>
      </c>
      <c r="AE16" s="62">
        <f>VLOOKUP($A12,'Май_2025'!$A$100:$M$111,11,0)</f>
        <v>0.1995708155</v>
      </c>
      <c r="AF16" s="63">
        <f>VLOOKUP($A12,'Май_2025'!$A$100:$M$111,12,0)</f>
        <v>45864.19753</v>
      </c>
      <c r="AG16" s="155">
        <f t="shared" si="35"/>
        <v>0.05513181704</v>
      </c>
      <c r="AH16" s="153" t="str">
        <f t="shared" si="36"/>
        <v>▲</v>
      </c>
      <c r="AI16" s="63">
        <f>VLOOKUP($A12,'Май_2025'!$A$100:$M$111,13,0)</f>
        <v>15978.49462</v>
      </c>
      <c r="AJ16" s="155">
        <f t="shared" si="37"/>
        <v>0.3784786642</v>
      </c>
      <c r="AK16" s="156" t="str">
        <f t="shared" si="38"/>
        <v>▲</v>
      </c>
      <c r="AL16" s="62">
        <f>VLOOKUP($A12,'Июнь_2025'!$A$100:$M$111,11,0)</f>
        <v>0.1995708155</v>
      </c>
      <c r="AM16" s="63">
        <f>VLOOKUP($A12,'Июнь_2025'!$A$100:$M$111,12,0)</f>
        <v>41939.39394</v>
      </c>
      <c r="AN16" s="155">
        <f t="shared" si="39"/>
        <v>-0.08557445247</v>
      </c>
      <c r="AO16" s="153" t="str">
        <f t="shared" si="40"/>
        <v>▼</v>
      </c>
      <c r="AP16" s="63">
        <f>VLOOKUP($A12,'Июнь_2025'!$A$100:$M$111,13,0)</f>
        <v>14881.72043</v>
      </c>
      <c r="AQ16" s="155">
        <f t="shared" si="41"/>
        <v>-0.06864064603</v>
      </c>
      <c r="AR16" s="156" t="str">
        <f t="shared" si="42"/>
        <v>▼</v>
      </c>
    </row>
    <row r="17">
      <c r="A17" s="158"/>
      <c r="B17" s="69"/>
      <c r="C17" s="62"/>
      <c r="D17" s="97"/>
      <c r="E17" s="94"/>
      <c r="F17" s="94"/>
      <c r="G17" s="94"/>
      <c r="H17" s="94"/>
      <c r="I17" s="150"/>
      <c r="J17" s="62"/>
      <c r="K17" s="97"/>
      <c r="L17" s="155"/>
      <c r="M17" s="153"/>
      <c r="N17" s="94"/>
      <c r="O17" s="155"/>
      <c r="P17" s="156"/>
      <c r="Q17" s="62"/>
      <c r="R17" s="97"/>
      <c r="S17" s="155"/>
      <c r="T17" s="153"/>
      <c r="U17" s="94"/>
      <c r="V17" s="155"/>
      <c r="W17" s="156"/>
      <c r="X17" s="62"/>
      <c r="Y17" s="97"/>
      <c r="Z17" s="155"/>
      <c r="AA17" s="153"/>
      <c r="AB17" s="94"/>
      <c r="AC17" s="155"/>
      <c r="AD17" s="156"/>
      <c r="AE17" s="62"/>
      <c r="AF17" s="97"/>
      <c r="AG17" s="155"/>
      <c r="AH17" s="153"/>
      <c r="AI17" s="94"/>
      <c r="AJ17" s="155"/>
      <c r="AK17" s="156"/>
      <c r="AL17" s="62"/>
      <c r="AM17" s="97"/>
      <c r="AN17" s="155"/>
      <c r="AO17" s="153"/>
      <c r="AP17" s="94"/>
      <c r="AQ17" s="155"/>
      <c r="AR17" s="156"/>
    </row>
    <row r="18">
      <c r="A18" s="149" t="s">
        <v>140</v>
      </c>
      <c r="B18" s="69"/>
      <c r="D18" s="97"/>
      <c r="E18" s="94"/>
      <c r="F18" s="94"/>
      <c r="G18" s="94"/>
      <c r="H18" s="94"/>
      <c r="I18" s="150"/>
      <c r="K18" s="97"/>
      <c r="L18" s="155"/>
      <c r="M18" s="153"/>
      <c r="N18" s="94"/>
      <c r="O18" s="155"/>
      <c r="P18" s="156"/>
      <c r="R18" s="97"/>
      <c r="S18" s="155"/>
      <c r="T18" s="153"/>
      <c r="U18" s="94"/>
      <c r="V18" s="155"/>
      <c r="W18" s="156"/>
      <c r="Y18" s="97"/>
      <c r="Z18" s="155"/>
      <c r="AA18" s="153"/>
      <c r="AB18" s="94"/>
      <c r="AC18" s="155"/>
      <c r="AD18" s="156"/>
      <c r="AF18" s="97"/>
      <c r="AG18" s="155"/>
      <c r="AH18" s="153"/>
      <c r="AI18" s="94"/>
      <c r="AJ18" s="155"/>
      <c r="AK18" s="156"/>
      <c r="AM18" s="97"/>
      <c r="AN18" s="155"/>
      <c r="AO18" s="153"/>
      <c r="AP18" s="94"/>
      <c r="AQ18" s="155"/>
      <c r="AR18" s="156"/>
    </row>
    <row r="19">
      <c r="A19" s="151" t="s">
        <v>16</v>
      </c>
      <c r="B19" s="69"/>
      <c r="C19" s="62">
        <f>VLOOKUP($A18,'Январь_2025'!$A$100:$M$111,2,0)</f>
        <v>0.05141388175</v>
      </c>
      <c r="D19" s="63">
        <f>VLOOKUP($A18,'Январь_2025'!$A$100:$M$111,3,0)</f>
        <v>16438.35616</v>
      </c>
      <c r="E19" s="152"/>
      <c r="F19" s="153" t="str">
        <f t="shared" ref="F19:F22" si="43">IF(E19&gt;0,"▲",IF(E19&lt;0, "▼", " "))</f>
        <v> </v>
      </c>
      <c r="G19" s="63">
        <f>VLOOKUP($A18,'Январь_2025'!$A$100:$M$111,4,0)</f>
        <v>7500</v>
      </c>
      <c r="H19" s="94"/>
      <c r="I19" s="150"/>
      <c r="J19" s="62">
        <f>VLOOKUP($A18,'Февраль_2025'!$A$100:$M$111,2,0)</f>
        <v>0.05141388175</v>
      </c>
      <c r="K19" s="63">
        <f>VLOOKUP($A18,'Февраль_2025'!$A$100:$M$111,3,0)</f>
        <v>16000</v>
      </c>
      <c r="L19" s="155">
        <f t="shared" ref="L19:L22" si="44">IFERROR(K19/D19-1,0)</f>
        <v>-0.02666666667</v>
      </c>
      <c r="M19" s="153" t="str">
        <f t="shared" ref="M19:M22" si="45">IF(L19&gt;0,"▲",IF(L19&lt;0, "▼", " "))</f>
        <v>▼</v>
      </c>
      <c r="N19" s="63">
        <f>VLOOKUP($A18,'Февраль_2025'!$A$100:$M$111,4,0)</f>
        <v>7500</v>
      </c>
      <c r="O19" s="155">
        <f t="shared" ref="O19:O22" si="46">IFERROR(N19/G19-1,0)</f>
        <v>0</v>
      </c>
      <c r="P19" s="156" t="str">
        <f t="shared" ref="P19:P22" si="47">IF(O19&gt;0,"▲",IF(O19&lt;0, "▼", " "))</f>
        <v> </v>
      </c>
      <c r="Q19" s="62">
        <f>VLOOKUP($A18,'Март_2025'!$A$100:$M$111,2,0)</f>
        <v>0.05141388175</v>
      </c>
      <c r="R19" s="63">
        <f>VLOOKUP($A18,'Март_2025'!$A$100:$M$111,3,0)</f>
        <v>17333.33333</v>
      </c>
      <c r="S19" s="155">
        <f t="shared" ref="S19:S22" si="48">IFERROR(R19/K19-1,0)</f>
        <v>0.08333333333</v>
      </c>
      <c r="T19" s="153" t="str">
        <f t="shared" ref="T19:T22" si="49">IF(S19&gt;0,"▲",IF(S19&lt;0, "▼", " "))</f>
        <v>▲</v>
      </c>
      <c r="U19" s="63">
        <f>VLOOKUP($A18,'Март_2025'!$A$100:$M$111,4,0)</f>
        <v>8125</v>
      </c>
      <c r="V19" s="155">
        <f t="shared" ref="V19:V22" si="50">IFERROR(U19/N19-1,0)</f>
        <v>0.08333333333</v>
      </c>
      <c r="W19" s="156" t="str">
        <f t="shared" ref="W19:W22" si="51">IF(V19&gt;0,"▲",IF(V19&lt;0, "▼", " "))</f>
        <v>▲</v>
      </c>
      <c r="X19" s="62">
        <f>VLOOKUP($A18,'Апрель_2025'!$A$100:$M$111,2,0)</f>
        <v>0.05141388175</v>
      </c>
      <c r="Y19" s="63">
        <f>VLOOKUP($A18,'Апрель_2025'!$A$100:$M$111,3,0)</f>
        <v>16000</v>
      </c>
      <c r="Z19" s="155">
        <f t="shared" ref="Z19:Z22" si="52">IFERROR(Y19/R19-1,0)</f>
        <v>-0.07692307692</v>
      </c>
      <c r="AA19" s="153" t="str">
        <f t="shared" ref="AA19:AA22" si="53">IF(Z19&gt;0,"▲",IF(Z19&lt;0, "▼", " "))</f>
        <v>▼</v>
      </c>
      <c r="AB19" s="63">
        <f>VLOOKUP($A18,'Апрель_2025'!$A$100:$M$111,4,0)</f>
        <v>7500</v>
      </c>
      <c r="AC19" s="155">
        <f t="shared" ref="AC19:AC22" si="54">IFERROR(AB19/U19-1,0)</f>
        <v>-0.07692307692</v>
      </c>
      <c r="AD19" s="156" t="str">
        <f t="shared" ref="AD19:AD22" si="55">IF(AC19&gt;0,"▲",IF(AC19&lt;0, "▼", " "))</f>
        <v>▼</v>
      </c>
      <c r="AE19" s="62">
        <f>VLOOKUP($A18,'Май_2025'!$A$100:$M$111,2,0)</f>
        <v>0.05141388175</v>
      </c>
      <c r="AF19" s="63">
        <f>VLOOKUP($A18,'Май_2025'!$A$100:$M$111,3,0)</f>
        <v>16000</v>
      </c>
      <c r="AG19" s="155">
        <f t="shared" ref="AG19:AG22" si="56">IFERROR(AF19/Y19-1,0)</f>
        <v>0</v>
      </c>
      <c r="AH19" s="153" t="str">
        <f t="shared" ref="AH19:AH22" si="57">IF(AG19&gt;0,"▲",IF(AG19&lt;0, "▼", " "))</f>
        <v> </v>
      </c>
      <c r="AI19" s="63">
        <f>VLOOKUP($A18,'Май_2025'!$A$100:$M$111,4,0)</f>
        <v>7500</v>
      </c>
      <c r="AJ19" s="155">
        <f t="shared" ref="AJ19:AJ22" si="58">IFERROR(AI19/AB19-1,0)</f>
        <v>0</v>
      </c>
      <c r="AK19" s="156" t="str">
        <f t="shared" ref="AK19:AK22" si="59">IF(AJ19&gt;0,"▲",IF(AJ19&lt;0, "▼", " "))</f>
        <v> </v>
      </c>
      <c r="AL19" s="62">
        <f>VLOOKUP($A18,'Июнь_2025'!$A$100:$M$111,2,0)</f>
        <v>0.05141388175</v>
      </c>
      <c r="AM19" s="63">
        <f>VLOOKUP($A18,'Июнь_2025'!$A$100:$M$111,3,0)</f>
        <v>27049.18033</v>
      </c>
      <c r="AN19" s="155">
        <f t="shared" ref="AN19:AN22" si="60">IFERROR(AM19/AF19-1,0)</f>
        <v>0.6905737705</v>
      </c>
      <c r="AO19" s="153" t="str">
        <f t="shared" ref="AO19:AO22" si="61">IF(AN19&gt;0,"▲",IF(AN19&lt;0, "▼", " "))</f>
        <v>▲</v>
      </c>
      <c r="AP19" s="63">
        <f>VLOOKUP($A18,'Июнь_2025'!$A$100:$M$111,4,0)</f>
        <v>10312.5</v>
      </c>
      <c r="AQ19" s="155">
        <f t="shared" ref="AQ19:AQ22" si="62">IFERROR(AP19/AI19-1,0)</f>
        <v>0.375</v>
      </c>
      <c r="AR19" s="156" t="str">
        <f t="shared" ref="AR19:AR22" si="63">IF(AQ19&gt;0,"▲",IF(AQ19&lt;0, "▼", " "))</f>
        <v>▲</v>
      </c>
    </row>
    <row r="20">
      <c r="A20" s="157" t="s">
        <v>9</v>
      </c>
      <c r="B20" s="69"/>
      <c r="C20" s="62">
        <f>VLOOKUP($A18,'Январь_2025'!$A$100:$M$111,5,0)</f>
        <v>0.06893382353</v>
      </c>
      <c r="D20" s="63">
        <f>VLOOKUP($A18,'Январь_2025'!$A$100:$M$111,6,0)</f>
        <v>16000</v>
      </c>
      <c r="E20" s="152"/>
      <c r="F20" s="153" t="str">
        <f t="shared" si="43"/>
        <v> </v>
      </c>
      <c r="G20" s="63">
        <f>VLOOKUP($A18,'Январь_2025'!$A$100:$M$111,7,0)</f>
        <v>8000</v>
      </c>
      <c r="H20" s="94"/>
      <c r="I20" s="150"/>
      <c r="J20" s="62">
        <f>VLOOKUP($A18,'Февраль_2025'!$A$100:$M$111,5,0)</f>
        <v>0.06893382353</v>
      </c>
      <c r="K20" s="63">
        <f>VLOOKUP($A18,'Февраль_2025'!$A$100:$M$111,6,0)</f>
        <v>18103.44828</v>
      </c>
      <c r="L20" s="155">
        <f t="shared" si="44"/>
        <v>0.1314655172</v>
      </c>
      <c r="M20" s="153" t="str">
        <f t="shared" si="45"/>
        <v>▲</v>
      </c>
      <c r="N20" s="63">
        <f>VLOOKUP($A18,'Февраль_2025'!$A$100:$M$111,7,0)</f>
        <v>7000</v>
      </c>
      <c r="O20" s="155">
        <f t="shared" si="46"/>
        <v>-0.125</v>
      </c>
      <c r="P20" s="156" t="str">
        <f t="shared" si="47"/>
        <v>▼</v>
      </c>
      <c r="Q20" s="62">
        <f>VLOOKUP($A18,'Март_2025'!$A$100:$M$111,5,0)</f>
        <v>0.06893382353</v>
      </c>
      <c r="R20" s="63">
        <f>VLOOKUP($A18,'Март_2025'!$A$100:$M$111,6,0)</f>
        <v>15625</v>
      </c>
      <c r="S20" s="155">
        <f t="shared" si="48"/>
        <v>-0.1369047619</v>
      </c>
      <c r="T20" s="153" t="str">
        <f t="shared" si="49"/>
        <v>▼</v>
      </c>
      <c r="U20" s="63">
        <f>VLOOKUP($A18,'Март_2025'!$A$100:$M$111,7,0)</f>
        <v>8333.333333</v>
      </c>
      <c r="V20" s="155">
        <f t="shared" si="50"/>
        <v>0.1904761905</v>
      </c>
      <c r="W20" s="156" t="str">
        <f t="shared" si="51"/>
        <v>▲</v>
      </c>
      <c r="X20" s="62">
        <f>VLOOKUP($A18,'Апрель_2025'!$A$100:$M$111,5,0)</f>
        <v>0.06893382353</v>
      </c>
      <c r="Y20" s="63">
        <f>VLOOKUP($A18,'Апрель_2025'!$A$100:$M$111,6,0)</f>
        <v>15000</v>
      </c>
      <c r="Z20" s="155">
        <f t="shared" si="52"/>
        <v>-0.04</v>
      </c>
      <c r="AA20" s="153" t="str">
        <f t="shared" si="53"/>
        <v>▼</v>
      </c>
      <c r="AB20" s="63">
        <f>VLOOKUP($A18,'Апрель_2025'!$A$100:$M$111,7,0)</f>
        <v>8000</v>
      </c>
      <c r="AC20" s="155">
        <f t="shared" si="54"/>
        <v>-0.04</v>
      </c>
      <c r="AD20" s="156" t="str">
        <f t="shared" si="55"/>
        <v>▼</v>
      </c>
      <c r="AE20" s="62">
        <f>VLOOKUP($A18,'Май_2025'!$A$100:$M$111,5,0)</f>
        <v>0.06893382353</v>
      </c>
      <c r="AF20" s="63">
        <f>VLOOKUP($A18,'Май_2025'!$A$100:$M$111,6,0)</f>
        <v>16000</v>
      </c>
      <c r="AG20" s="155">
        <f t="shared" si="56"/>
        <v>0.06666666667</v>
      </c>
      <c r="AH20" s="153" t="str">
        <f t="shared" si="57"/>
        <v>▲</v>
      </c>
      <c r="AI20" s="63">
        <f>VLOOKUP($A18,'Май_2025'!$A$100:$M$111,7,0)</f>
        <v>8000</v>
      </c>
      <c r="AJ20" s="155">
        <f t="shared" si="58"/>
        <v>0</v>
      </c>
      <c r="AK20" s="156" t="str">
        <f t="shared" si="59"/>
        <v> </v>
      </c>
      <c r="AL20" s="62">
        <f>VLOOKUP($A18,'Июнь_2025'!$A$100:$M$111,5,0)</f>
        <v>0.06893382353</v>
      </c>
      <c r="AM20" s="63">
        <f>VLOOKUP($A18,'Июнь_2025'!$A$100:$M$111,6,0)</f>
        <v>15294.11765</v>
      </c>
      <c r="AN20" s="155">
        <f t="shared" si="60"/>
        <v>-0.04411764706</v>
      </c>
      <c r="AO20" s="153" t="str">
        <f t="shared" si="61"/>
        <v>▼</v>
      </c>
      <c r="AP20" s="63">
        <f>VLOOKUP($A18,'Июнь_2025'!$A$100:$M$111,7,0)</f>
        <v>8666.666667</v>
      </c>
      <c r="AQ20" s="155">
        <f t="shared" si="62"/>
        <v>0.08333333333</v>
      </c>
      <c r="AR20" s="156" t="str">
        <f t="shared" si="63"/>
        <v>▲</v>
      </c>
    </row>
    <row r="21">
      <c r="A21" s="157" t="s">
        <v>13</v>
      </c>
      <c r="B21" s="69"/>
      <c r="C21" s="62">
        <f>VLOOKUP($A18,'Январь_2025'!$A$100:$M$111,8,0)</f>
        <v>0.07547169811</v>
      </c>
      <c r="D21" s="63">
        <f>VLOOKUP($A18,'Январь_2025'!$A$100:$M$111,9,0)</f>
        <v>15217.3913</v>
      </c>
      <c r="E21" s="152"/>
      <c r="F21" s="153" t="str">
        <f t="shared" si="43"/>
        <v> </v>
      </c>
      <c r="G21" s="63">
        <f>VLOOKUP($A18,'Январь_2025'!$A$100:$M$111,10,0)</f>
        <v>7500</v>
      </c>
      <c r="H21" s="94"/>
      <c r="I21" s="150"/>
      <c r="J21" s="62">
        <f>VLOOKUP($A18,'Февраль_2025'!$A$100:$M$111,8,0)</f>
        <v>0.07547169811</v>
      </c>
      <c r="K21" s="63">
        <f>VLOOKUP($A18,'Февраль_2025'!$A$100:$M$111,9,0)</f>
        <v>17222.22222</v>
      </c>
      <c r="L21" s="155">
        <f t="shared" si="44"/>
        <v>0.1317460317</v>
      </c>
      <c r="M21" s="153" t="str">
        <f t="shared" si="45"/>
        <v>▲</v>
      </c>
      <c r="N21" s="63">
        <f>VLOOKUP($A18,'Февраль_2025'!$A$100:$M$111,10,0)</f>
        <v>6642.857143</v>
      </c>
      <c r="O21" s="155">
        <f t="shared" si="46"/>
        <v>-0.1142857143</v>
      </c>
      <c r="P21" s="156" t="str">
        <f t="shared" si="47"/>
        <v>▼</v>
      </c>
      <c r="Q21" s="62">
        <f>VLOOKUP($A18,'Март_2025'!$A$100:$M$111,8,0)</f>
        <v>0.07547169811</v>
      </c>
      <c r="R21" s="63">
        <f>VLOOKUP($A18,'Март_2025'!$A$100:$M$111,9,0)</f>
        <v>17142.85714</v>
      </c>
      <c r="S21" s="155">
        <f t="shared" si="48"/>
        <v>-0.004608294931</v>
      </c>
      <c r="T21" s="153" t="str">
        <f t="shared" si="49"/>
        <v>▼</v>
      </c>
      <c r="U21" s="63">
        <f>VLOOKUP($A18,'Март_2025'!$A$100:$M$111,10,0)</f>
        <v>8571.428571</v>
      </c>
      <c r="V21" s="155">
        <f t="shared" si="50"/>
        <v>0.2903225806</v>
      </c>
      <c r="W21" s="156" t="str">
        <f t="shared" si="51"/>
        <v>▲</v>
      </c>
      <c r="X21" s="62">
        <f>VLOOKUP($A18,'Апрель_2025'!$A$100:$M$111,8,0)</f>
        <v>0.07547169811</v>
      </c>
      <c r="Y21" s="63">
        <f>VLOOKUP($A18,'Апрель_2025'!$A$100:$M$111,9,0)</f>
        <v>16153.84615</v>
      </c>
      <c r="Z21" s="155">
        <f t="shared" si="52"/>
        <v>-0.05769230769</v>
      </c>
      <c r="AA21" s="153" t="str">
        <f t="shared" si="53"/>
        <v>▼</v>
      </c>
      <c r="AB21" s="63">
        <f>VLOOKUP($A18,'Апрель_2025'!$A$100:$M$111,10,0)</f>
        <v>7500</v>
      </c>
      <c r="AC21" s="155">
        <f t="shared" si="54"/>
        <v>-0.125</v>
      </c>
      <c r="AD21" s="156" t="str">
        <f t="shared" si="55"/>
        <v>▼</v>
      </c>
      <c r="AE21" s="62">
        <f>VLOOKUP($A18,'Май_2025'!$A$100:$M$111,8,0)</f>
        <v>0.07547169811</v>
      </c>
      <c r="AF21" s="63">
        <f>VLOOKUP($A18,'Май_2025'!$A$100:$M$111,9,0)</f>
        <v>15000</v>
      </c>
      <c r="AG21" s="155">
        <f t="shared" si="56"/>
        <v>-0.07142857143</v>
      </c>
      <c r="AH21" s="153" t="str">
        <f t="shared" si="57"/>
        <v>▼</v>
      </c>
      <c r="AI21" s="63">
        <f>VLOOKUP($A18,'Май_2025'!$A$100:$M$111,10,0)</f>
        <v>7500</v>
      </c>
      <c r="AJ21" s="155">
        <f t="shared" si="58"/>
        <v>0</v>
      </c>
      <c r="AK21" s="156" t="str">
        <f t="shared" si="59"/>
        <v> </v>
      </c>
      <c r="AL21" s="62">
        <f>VLOOKUP($A18,'Июнь_2025'!$A$100:$M$111,8,0)</f>
        <v>0.07547169811</v>
      </c>
      <c r="AM21" s="63">
        <f>VLOOKUP($A18,'Июнь_2025'!$A$100:$M$111,9,0)</f>
        <v>15384.61538</v>
      </c>
      <c r="AN21" s="155">
        <f t="shared" si="60"/>
        <v>0.02564102564</v>
      </c>
      <c r="AO21" s="153" t="str">
        <f t="shared" si="61"/>
        <v>▲</v>
      </c>
      <c r="AP21" s="63">
        <f>VLOOKUP($A18,'Июнь_2025'!$A$100:$M$111,10,0)</f>
        <v>7142.857143</v>
      </c>
      <c r="AQ21" s="155">
        <f t="shared" si="62"/>
        <v>-0.04761904762</v>
      </c>
      <c r="AR21" s="156" t="str">
        <f t="shared" si="63"/>
        <v>▼</v>
      </c>
    </row>
    <row r="22">
      <c r="A22" s="151" t="s">
        <v>19</v>
      </c>
      <c r="B22" s="69"/>
      <c r="C22" s="62">
        <f>VLOOKUP($A18,'Январь_2025'!$A$100:$M$111,11,0)</f>
        <v>0.05579399142</v>
      </c>
      <c r="D22" s="63">
        <f>VLOOKUP($A18,'Январь_2025'!$A$100:$M$111,12,0)</f>
        <v>15476.19048</v>
      </c>
      <c r="E22" s="152"/>
      <c r="F22" s="153" t="str">
        <f t="shared" si="43"/>
        <v> </v>
      </c>
      <c r="G22" s="63">
        <f>VLOOKUP($A18,'Январь_2025'!$A$100:$M$111,13,0)</f>
        <v>7500</v>
      </c>
      <c r="H22" s="94"/>
      <c r="I22" s="150"/>
      <c r="J22" s="62">
        <f>VLOOKUP($A18,'Февраль_2025'!$A$100:$M$111,11,0)</f>
        <v>0.07725321888</v>
      </c>
      <c r="K22" s="63">
        <f>VLOOKUP($A18,'Февраль_2025'!$A$100:$M$111,12,0)</f>
        <v>12074.46809</v>
      </c>
      <c r="L22" s="155">
        <f t="shared" si="44"/>
        <v>-0.2198036007</v>
      </c>
      <c r="M22" s="153" t="str">
        <f t="shared" si="45"/>
        <v>▼</v>
      </c>
      <c r="N22" s="63">
        <f>VLOOKUP($A18,'Февраль_2025'!$A$100:$M$111,13,0)</f>
        <v>6305.555556</v>
      </c>
      <c r="O22" s="155">
        <f t="shared" si="46"/>
        <v>-0.1592592593</v>
      </c>
      <c r="P22" s="156" t="str">
        <f t="shared" si="47"/>
        <v>▼</v>
      </c>
      <c r="Q22" s="62">
        <f>VLOOKUP($A18,'Март_2025'!$A$100:$M$111,11,0)</f>
        <v>0.07725321888</v>
      </c>
      <c r="R22" s="63">
        <f>VLOOKUP($A18,'Март_2025'!$A$100:$M$111,12,0)</f>
        <v>10372.34043</v>
      </c>
      <c r="S22" s="155">
        <f t="shared" si="48"/>
        <v>-0.140969163</v>
      </c>
      <c r="T22" s="153" t="str">
        <f t="shared" si="49"/>
        <v>▼</v>
      </c>
      <c r="U22" s="63">
        <f>VLOOKUP($A18,'Март_2025'!$A$100:$M$111,13,0)</f>
        <v>5416.666667</v>
      </c>
      <c r="V22" s="155">
        <f t="shared" si="50"/>
        <v>-0.140969163</v>
      </c>
      <c r="W22" s="156" t="str">
        <f t="shared" si="51"/>
        <v>▼</v>
      </c>
      <c r="X22" s="62">
        <f>VLOOKUP($A18,'Апрель_2025'!$A$100:$M$111,11,0)</f>
        <v>0.07725321888</v>
      </c>
      <c r="Y22" s="63">
        <f>VLOOKUP($A18,'Апрель_2025'!$A$100:$M$111,12,0)</f>
        <v>11170.21277</v>
      </c>
      <c r="Z22" s="155">
        <f t="shared" si="52"/>
        <v>0.07692307692</v>
      </c>
      <c r="AA22" s="153" t="str">
        <f t="shared" si="53"/>
        <v>▲</v>
      </c>
      <c r="AB22" s="63">
        <f>VLOOKUP($A18,'Апрель_2025'!$A$100:$M$111,13,0)</f>
        <v>5833.333333</v>
      </c>
      <c r="AC22" s="155">
        <f t="shared" si="54"/>
        <v>0.07692307692</v>
      </c>
      <c r="AD22" s="156" t="str">
        <f t="shared" si="55"/>
        <v>▲</v>
      </c>
      <c r="AE22" s="62">
        <f>VLOOKUP($A18,'Май_2025'!$A$100:$M$111,11,0)</f>
        <v>0.07725321888</v>
      </c>
      <c r="AF22" s="63">
        <f>VLOOKUP($A18,'Май_2025'!$A$100:$M$111,12,0)</f>
        <v>11170.21277</v>
      </c>
      <c r="AG22" s="155">
        <f t="shared" si="56"/>
        <v>0</v>
      </c>
      <c r="AH22" s="153" t="str">
        <f t="shared" si="57"/>
        <v> </v>
      </c>
      <c r="AI22" s="63">
        <f>VLOOKUP($A18,'Май_2025'!$A$100:$M$111,13,0)</f>
        <v>5833.333333</v>
      </c>
      <c r="AJ22" s="155">
        <f t="shared" si="58"/>
        <v>0</v>
      </c>
      <c r="AK22" s="156" t="str">
        <f t="shared" si="59"/>
        <v> </v>
      </c>
      <c r="AL22" s="62">
        <f>VLOOKUP($A18,'Июнь_2025'!$A$100:$M$111,11,0)</f>
        <v>0.1094420601</v>
      </c>
      <c r="AM22" s="63">
        <f>VLOOKUP($A18,'Июнь_2025'!$A$100:$M$111,12,0)</f>
        <v>13949.27536</v>
      </c>
      <c r="AN22" s="155">
        <f t="shared" si="60"/>
        <v>0.2487922705</v>
      </c>
      <c r="AO22" s="153" t="str">
        <f t="shared" si="61"/>
        <v>▲</v>
      </c>
      <c r="AP22" s="63">
        <f>VLOOKUP($A18,'Июнь_2025'!$A$100:$M$111,13,0)</f>
        <v>7549.019608</v>
      </c>
      <c r="AQ22" s="155">
        <f t="shared" si="62"/>
        <v>0.2941176471</v>
      </c>
      <c r="AR22" s="156" t="str">
        <f t="shared" si="63"/>
        <v>▲</v>
      </c>
    </row>
    <row r="23">
      <c r="A23" s="158"/>
      <c r="B23" s="69"/>
      <c r="C23" s="62"/>
      <c r="D23" s="97"/>
      <c r="E23" s="94"/>
      <c r="F23" s="94"/>
      <c r="G23" s="94"/>
      <c r="H23" s="94"/>
      <c r="I23" s="150"/>
      <c r="J23" s="62"/>
      <c r="K23" s="97"/>
      <c r="L23" s="155"/>
      <c r="M23" s="153"/>
      <c r="N23" s="94"/>
      <c r="O23" s="155"/>
      <c r="P23" s="156"/>
      <c r="Q23" s="62"/>
      <c r="R23" s="97"/>
      <c r="S23" s="155"/>
      <c r="T23" s="153"/>
      <c r="U23" s="94"/>
      <c r="V23" s="155"/>
      <c r="W23" s="156"/>
      <c r="X23" s="62"/>
      <c r="Y23" s="97"/>
      <c r="Z23" s="155"/>
      <c r="AA23" s="153"/>
      <c r="AB23" s="94"/>
      <c r="AC23" s="155"/>
      <c r="AD23" s="156"/>
      <c r="AE23" s="62"/>
      <c r="AF23" s="97"/>
      <c r="AG23" s="155"/>
      <c r="AH23" s="153"/>
      <c r="AI23" s="94"/>
      <c r="AJ23" s="155"/>
      <c r="AK23" s="156"/>
      <c r="AL23" s="62"/>
      <c r="AM23" s="97"/>
      <c r="AN23" s="155"/>
      <c r="AO23" s="153"/>
      <c r="AP23" s="94"/>
      <c r="AQ23" s="155"/>
      <c r="AR23" s="156"/>
    </row>
    <row r="24">
      <c r="A24" s="149" t="s">
        <v>130</v>
      </c>
      <c r="B24" s="69"/>
      <c r="D24" s="97"/>
      <c r="E24" s="94"/>
      <c r="F24" s="94"/>
      <c r="G24" s="94"/>
      <c r="H24" s="94"/>
      <c r="I24" s="150"/>
      <c r="K24" s="97"/>
      <c r="L24" s="155"/>
      <c r="M24" s="153"/>
      <c r="N24" s="94"/>
      <c r="O24" s="155"/>
      <c r="P24" s="156"/>
      <c r="R24" s="97"/>
      <c r="S24" s="155"/>
      <c r="T24" s="153"/>
      <c r="U24" s="94"/>
      <c r="V24" s="155"/>
      <c r="W24" s="156"/>
      <c r="Y24" s="97"/>
      <c r="Z24" s="155"/>
      <c r="AA24" s="153"/>
      <c r="AB24" s="94"/>
      <c r="AC24" s="155"/>
      <c r="AD24" s="156"/>
      <c r="AF24" s="97"/>
      <c r="AG24" s="155"/>
      <c r="AH24" s="153"/>
      <c r="AI24" s="94"/>
      <c r="AJ24" s="155"/>
      <c r="AK24" s="156"/>
      <c r="AM24" s="97"/>
      <c r="AN24" s="155"/>
      <c r="AO24" s="153"/>
      <c r="AP24" s="94"/>
      <c r="AQ24" s="155"/>
      <c r="AR24" s="156"/>
    </row>
    <row r="25">
      <c r="A25" s="151" t="s">
        <v>16</v>
      </c>
      <c r="B25" s="69"/>
      <c r="C25" s="62">
        <f>VLOOKUP($A24,'Январь_2025'!$A$100:$M$111,2,0)</f>
        <v>0.0353470437</v>
      </c>
      <c r="D25" s="63">
        <f>VLOOKUP($A24,'Январь_2025'!$A$100:$M$111,3,0)</f>
        <v>10576.92308</v>
      </c>
      <c r="E25" s="152"/>
      <c r="F25" s="153" t="str">
        <f t="shared" ref="F25:F28" si="64">IF(E25&gt;0,"▲",IF(E25&lt;0, "▼", " "))</f>
        <v> </v>
      </c>
      <c r="G25" s="63">
        <f>VLOOKUP($A24,'Январь_2025'!$A$100:$M$111,4,0)</f>
        <v>5000</v>
      </c>
      <c r="H25" s="94"/>
      <c r="I25" s="150"/>
      <c r="J25" s="62">
        <f>VLOOKUP($A24,'Февраль_2025'!$A$100:$M$111,2,0)</f>
        <v>0.0353470437</v>
      </c>
      <c r="K25" s="63">
        <f>VLOOKUP($A24,'Февраль_2025'!$A$100:$M$111,3,0)</f>
        <v>11000</v>
      </c>
      <c r="L25" s="155">
        <f t="shared" ref="L25:L28" si="65">IFERROR(K25/D25-1,0)</f>
        <v>0.04</v>
      </c>
      <c r="M25" s="153" t="str">
        <f t="shared" ref="M25:M28" si="66">IF(L25&gt;0,"▲",IF(L25&lt;0, "▼", " "))</f>
        <v>▲</v>
      </c>
      <c r="N25" s="63">
        <f>VLOOKUP($A24,'Февраль_2025'!$A$100:$M$111,4,0)</f>
        <v>5000</v>
      </c>
      <c r="O25" s="155">
        <f t="shared" ref="O25:O28" si="67">IFERROR(N25/G25-1,0)</f>
        <v>0</v>
      </c>
      <c r="P25" s="156" t="str">
        <f t="shared" ref="P25:P28" si="68">IF(O25&gt;0,"▲",IF(O25&lt;0, "▼", " "))</f>
        <v> </v>
      </c>
      <c r="Q25" s="62">
        <f>VLOOKUP($A24,'Март_2025'!$A$100:$M$111,2,0)</f>
        <v>0.0353470437</v>
      </c>
      <c r="R25" s="63">
        <f>VLOOKUP($A24,'Март_2025'!$A$100:$M$111,3,0)</f>
        <v>12000</v>
      </c>
      <c r="S25" s="155">
        <f t="shared" ref="S25:S28" si="69">IFERROR(R25/K25-1,0)</f>
        <v>0.09090909091</v>
      </c>
      <c r="T25" s="153" t="str">
        <f t="shared" ref="T25:T28" si="70">IF(S25&gt;0,"▲",IF(S25&lt;0, "▼", " "))</f>
        <v>▲</v>
      </c>
      <c r="U25" s="63">
        <f>VLOOKUP($A24,'Март_2025'!$A$100:$M$111,4,0)</f>
        <v>5454.545455</v>
      </c>
      <c r="V25" s="155">
        <f t="shared" ref="V25:V28" si="71">IFERROR(U25/N25-1,0)</f>
        <v>0.09090909091</v>
      </c>
      <c r="W25" s="156" t="str">
        <f t="shared" ref="W25:W28" si="72">IF(V25&gt;0,"▲",IF(V25&lt;0, "▼", " "))</f>
        <v>▲</v>
      </c>
      <c r="X25" s="62">
        <f>VLOOKUP($A24,'Апрель_2025'!$A$100:$M$111,2,0)</f>
        <v>0.0353470437</v>
      </c>
      <c r="Y25" s="63">
        <f>VLOOKUP($A24,'Апрель_2025'!$A$100:$M$111,3,0)</f>
        <v>10784.31373</v>
      </c>
      <c r="Z25" s="155">
        <f t="shared" ref="Z25:Z28" si="73">IFERROR(Y25/R25-1,0)</f>
        <v>-0.1013071895</v>
      </c>
      <c r="AA25" s="153" t="str">
        <f t="shared" ref="AA25:AA28" si="74">IF(Z25&gt;0,"▲",IF(Z25&lt;0, "▼", " "))</f>
        <v>▼</v>
      </c>
      <c r="AB25" s="63">
        <f>VLOOKUP($A24,'Апрель_2025'!$A$100:$M$111,4,0)</f>
        <v>5000</v>
      </c>
      <c r="AC25" s="155">
        <f t="shared" ref="AC25:AC28" si="75">IFERROR(AB25/U25-1,0)</f>
        <v>-0.08333333333</v>
      </c>
      <c r="AD25" s="156" t="str">
        <f t="shared" ref="AD25:AD28" si="76">IF(AC25&gt;0,"▲",IF(AC25&lt;0, "▼", " "))</f>
        <v>▼</v>
      </c>
      <c r="AE25" s="62">
        <f>VLOOKUP($A24,'Май_2025'!$A$100:$M$111,2,0)</f>
        <v>0.0353470437</v>
      </c>
      <c r="AF25" s="63">
        <f>VLOOKUP($A24,'Май_2025'!$A$100:$M$111,3,0)</f>
        <v>11000</v>
      </c>
      <c r="AG25" s="155">
        <f t="shared" ref="AG25:AG28" si="77">IFERROR(AF25/Y25-1,0)</f>
        <v>0.02</v>
      </c>
      <c r="AH25" s="153" t="str">
        <f t="shared" ref="AH25:AH28" si="78">IF(AG25&gt;0,"▲",IF(AG25&lt;0, "▼", " "))</f>
        <v>▲</v>
      </c>
      <c r="AI25" s="63">
        <f>VLOOKUP($A24,'Май_2025'!$A$100:$M$111,4,0)</f>
        <v>5000</v>
      </c>
      <c r="AJ25" s="155">
        <f t="shared" ref="AJ25:AJ28" si="79">IFERROR(AI25/AB25-1,0)</f>
        <v>0</v>
      </c>
      <c r="AK25" s="156" t="str">
        <f t="shared" ref="AK25:AK28" si="80">IF(AJ25&gt;0,"▲",IF(AJ25&lt;0, "▼", " "))</f>
        <v> </v>
      </c>
      <c r="AL25" s="62">
        <f>VLOOKUP($A24,'Июнь_2025'!$A$100:$M$111,2,0)</f>
        <v>0.0353470437</v>
      </c>
      <c r="AM25" s="63">
        <f>VLOOKUP($A24,'Июнь_2025'!$A$100:$M$111,3,0)</f>
        <v>10666.66667</v>
      </c>
      <c r="AN25" s="155">
        <f t="shared" ref="AN25:AN28" si="81">IFERROR(AM25/AF25-1,0)</f>
        <v>-0.0303030303</v>
      </c>
      <c r="AO25" s="153" t="str">
        <f t="shared" ref="AO25:AO28" si="82">IF(AN25&gt;0,"▲",IF(AN25&lt;0, "▼", " "))</f>
        <v>▼</v>
      </c>
      <c r="AP25" s="63">
        <f>VLOOKUP($A24,'Июнь_2025'!$A$100:$M$111,4,0)</f>
        <v>4363.636364</v>
      </c>
      <c r="AQ25" s="155">
        <f t="shared" ref="AQ25:AQ28" si="83">IFERROR(AP25/AI25-1,0)</f>
        <v>-0.1272727273</v>
      </c>
      <c r="AR25" s="156" t="str">
        <f t="shared" ref="AR25:AR28" si="84">IF(AQ25&gt;0,"▲",IF(AQ25&lt;0, "▼", " "))</f>
        <v>▼</v>
      </c>
    </row>
    <row r="26">
      <c r="A26" s="157" t="s">
        <v>9</v>
      </c>
      <c r="B26" s="69"/>
      <c r="C26" s="62">
        <f>VLOOKUP($A24,'Январь_2025'!$A$100:$M$111,5,0)</f>
        <v>0.04595588235</v>
      </c>
      <c r="D26" s="63">
        <f>VLOOKUP($A24,'Январь_2025'!$A$100:$M$111,6,0)</f>
        <v>11785.71429</v>
      </c>
      <c r="E26" s="152"/>
      <c r="F26" s="153" t="str">
        <f t="shared" si="64"/>
        <v> </v>
      </c>
      <c r="G26" s="63">
        <f>VLOOKUP($A24,'Январь_2025'!$A$100:$M$111,7,0)</f>
        <v>4950</v>
      </c>
      <c r="H26" s="94"/>
      <c r="I26" s="150"/>
      <c r="J26" s="62">
        <f>VLOOKUP($A24,'Февраль_2025'!$A$100:$M$111,5,0)</f>
        <v>0.04595588235</v>
      </c>
      <c r="K26" s="63">
        <f>VLOOKUP($A24,'Февраль_2025'!$A$100:$M$111,6,0)</f>
        <v>12800</v>
      </c>
      <c r="L26" s="155">
        <f t="shared" si="65"/>
        <v>0.08606060606</v>
      </c>
      <c r="M26" s="153" t="str">
        <f t="shared" si="66"/>
        <v>▲</v>
      </c>
      <c r="N26" s="63">
        <f>VLOOKUP($A24,'Февраль_2025'!$A$100:$M$111,7,0)</f>
        <v>6400</v>
      </c>
      <c r="O26" s="155">
        <f t="shared" si="67"/>
        <v>0.2929292929</v>
      </c>
      <c r="P26" s="156" t="str">
        <f t="shared" si="68"/>
        <v>▲</v>
      </c>
      <c r="Q26" s="62">
        <f>VLOOKUP($A24,'Март_2025'!$A$100:$M$111,5,0)</f>
        <v>0.04595588235</v>
      </c>
      <c r="R26" s="63">
        <f>VLOOKUP($A24,'Март_2025'!$A$100:$M$111,6,0)</f>
        <v>12222.22222</v>
      </c>
      <c r="S26" s="155">
        <f t="shared" si="69"/>
        <v>-0.04513888889</v>
      </c>
      <c r="T26" s="153" t="str">
        <f t="shared" si="70"/>
        <v>▼</v>
      </c>
      <c r="U26" s="63">
        <f>VLOOKUP($A24,'Март_2025'!$A$100:$M$111,7,0)</f>
        <v>5500</v>
      </c>
      <c r="V26" s="155">
        <f t="shared" si="71"/>
        <v>-0.140625</v>
      </c>
      <c r="W26" s="156" t="str">
        <f t="shared" si="72"/>
        <v>▼</v>
      </c>
      <c r="X26" s="62">
        <f>VLOOKUP($A24,'Апрель_2025'!$A$100:$M$111,5,0)</f>
        <v>0.04595588235</v>
      </c>
      <c r="Y26" s="63">
        <f>VLOOKUP($A24,'Апрель_2025'!$A$100:$M$111,6,0)</f>
        <v>11250</v>
      </c>
      <c r="Z26" s="155">
        <f t="shared" si="73"/>
        <v>-0.07954545455</v>
      </c>
      <c r="AA26" s="153" t="str">
        <f t="shared" si="74"/>
        <v>▼</v>
      </c>
      <c r="AB26" s="63">
        <f>VLOOKUP($A24,'Апрель_2025'!$A$100:$M$111,7,0)</f>
        <v>4950</v>
      </c>
      <c r="AC26" s="155">
        <f t="shared" si="75"/>
        <v>-0.1</v>
      </c>
      <c r="AD26" s="156" t="str">
        <f t="shared" si="76"/>
        <v>▼</v>
      </c>
      <c r="AE26" s="62">
        <f>VLOOKUP($A24,'Май_2025'!$A$100:$M$111,5,0)</f>
        <v>0.04595588235</v>
      </c>
      <c r="AF26" s="63">
        <f>VLOOKUP($A24,'Май_2025'!$A$100:$M$111,6,0)</f>
        <v>12073.17073</v>
      </c>
      <c r="AG26" s="155">
        <f t="shared" si="77"/>
        <v>0.07317073171</v>
      </c>
      <c r="AH26" s="153" t="str">
        <f t="shared" si="78"/>
        <v>▲</v>
      </c>
      <c r="AI26" s="63">
        <f>VLOOKUP($A24,'Май_2025'!$A$100:$M$111,7,0)</f>
        <v>4950</v>
      </c>
      <c r="AJ26" s="155">
        <f t="shared" si="79"/>
        <v>0</v>
      </c>
      <c r="AK26" s="156" t="str">
        <f t="shared" si="80"/>
        <v> </v>
      </c>
      <c r="AL26" s="62">
        <f>VLOOKUP($A24,'Июнь_2025'!$A$100:$M$111,5,0)</f>
        <v>0.04595588235</v>
      </c>
      <c r="AM26" s="63">
        <f>VLOOKUP($A24,'Июнь_2025'!$A$100:$M$111,6,0)</f>
        <v>9500</v>
      </c>
      <c r="AN26" s="155">
        <f t="shared" si="81"/>
        <v>-0.2131313131</v>
      </c>
      <c r="AO26" s="153" t="str">
        <f t="shared" si="82"/>
        <v>▼</v>
      </c>
      <c r="AP26" s="63">
        <f>VLOOKUP($A24,'Июнь_2025'!$A$100:$M$111,7,0)</f>
        <v>1900</v>
      </c>
      <c r="AQ26" s="155">
        <f t="shared" si="83"/>
        <v>-0.6161616162</v>
      </c>
      <c r="AR26" s="156" t="str">
        <f t="shared" si="84"/>
        <v>▼</v>
      </c>
    </row>
    <row r="27">
      <c r="A27" s="157" t="s">
        <v>13</v>
      </c>
      <c r="B27" s="69"/>
      <c r="C27" s="62">
        <f>VLOOKUP($A24,'Январь_2025'!$A$100:$M$111,8,0)</f>
        <v>0.04851752022</v>
      </c>
      <c r="D27" s="63">
        <f>VLOOKUP($A24,'Январь_2025'!$A$100:$M$111,9,0)</f>
        <v>12571.42857</v>
      </c>
      <c r="E27" s="152"/>
      <c r="F27" s="153" t="str">
        <f t="shared" si="64"/>
        <v> </v>
      </c>
      <c r="G27" s="63">
        <f>VLOOKUP($A24,'Январь_2025'!$A$100:$M$111,10,0)</f>
        <v>4888.888889</v>
      </c>
      <c r="H27" s="94"/>
      <c r="I27" s="150"/>
      <c r="J27" s="62">
        <f>VLOOKUP($A24,'Февраль_2025'!$A$100:$M$111,8,0)</f>
        <v>0.04851752022</v>
      </c>
      <c r="K27" s="63">
        <f>VLOOKUP($A24,'Февраль_2025'!$A$100:$M$111,9,0)</f>
        <v>11111.11111</v>
      </c>
      <c r="L27" s="155">
        <f t="shared" si="65"/>
        <v>-0.1161616162</v>
      </c>
      <c r="M27" s="153" t="str">
        <f t="shared" si="66"/>
        <v>▼</v>
      </c>
      <c r="N27" s="63">
        <f>VLOOKUP($A24,'Февраль_2025'!$A$100:$M$111,10,0)</f>
        <v>5555.555556</v>
      </c>
      <c r="O27" s="155">
        <f t="shared" si="67"/>
        <v>0.1363636364</v>
      </c>
      <c r="P27" s="156" t="str">
        <f t="shared" si="68"/>
        <v>▲</v>
      </c>
      <c r="Q27" s="62">
        <f>VLOOKUP($A24,'Март_2025'!$A$100:$M$111,8,0)</f>
        <v>0.04851752022</v>
      </c>
      <c r="R27" s="63">
        <f>VLOOKUP($A24,'Март_2025'!$A$100:$M$111,9,0)</f>
        <v>11250</v>
      </c>
      <c r="S27" s="155">
        <f t="shared" si="69"/>
        <v>0.0125</v>
      </c>
      <c r="T27" s="153" t="str">
        <f t="shared" si="70"/>
        <v>▲</v>
      </c>
      <c r="U27" s="63">
        <f>VLOOKUP($A24,'Март_2025'!$A$100:$M$111,10,0)</f>
        <v>5000</v>
      </c>
      <c r="V27" s="155">
        <f t="shared" si="71"/>
        <v>-0.1</v>
      </c>
      <c r="W27" s="156" t="str">
        <f t="shared" si="72"/>
        <v>▼</v>
      </c>
      <c r="X27" s="62">
        <f>VLOOKUP($A24,'Апрель_2025'!$A$100:$M$111,8,0)</f>
        <v>0.04851752022</v>
      </c>
      <c r="Y27" s="63">
        <f>VLOOKUP($A24,'Апрель_2025'!$A$100:$M$111,9,0)</f>
        <v>11282.05128</v>
      </c>
      <c r="Z27" s="155">
        <f t="shared" si="73"/>
        <v>0.002849002849</v>
      </c>
      <c r="AA27" s="153" t="str">
        <f t="shared" si="74"/>
        <v>▲</v>
      </c>
      <c r="AB27" s="63">
        <f>VLOOKUP($A24,'Апрель_2025'!$A$100:$M$111,10,0)</f>
        <v>4888.888889</v>
      </c>
      <c r="AC27" s="155">
        <f t="shared" si="75"/>
        <v>-0.02222222222</v>
      </c>
      <c r="AD27" s="156" t="str">
        <f t="shared" si="76"/>
        <v>▼</v>
      </c>
      <c r="AE27" s="62">
        <f>VLOOKUP($A24,'Май_2025'!$A$100:$M$111,8,0)</f>
        <v>0.04851752022</v>
      </c>
      <c r="AF27" s="63">
        <f>VLOOKUP($A24,'Май_2025'!$A$100:$M$111,9,0)</f>
        <v>11000</v>
      </c>
      <c r="AG27" s="155">
        <f t="shared" si="77"/>
        <v>-0.025</v>
      </c>
      <c r="AH27" s="153" t="str">
        <f t="shared" si="78"/>
        <v>▼</v>
      </c>
      <c r="AI27" s="63">
        <f>VLOOKUP($A24,'Май_2025'!$A$100:$M$111,10,0)</f>
        <v>4888.888889</v>
      </c>
      <c r="AJ27" s="155">
        <f t="shared" si="79"/>
        <v>0</v>
      </c>
      <c r="AK27" s="156" t="str">
        <f t="shared" si="80"/>
        <v> </v>
      </c>
      <c r="AL27" s="62">
        <f>VLOOKUP($A24,'Июнь_2025'!$A$100:$M$111,8,0)</f>
        <v>0.04851752022</v>
      </c>
      <c r="AM27" s="63">
        <f>VLOOKUP($A24,'Июнь_2025'!$A$100:$M$111,9,0)</f>
        <v>7500</v>
      </c>
      <c r="AN27" s="155">
        <f t="shared" si="81"/>
        <v>-0.3181818182</v>
      </c>
      <c r="AO27" s="153" t="str">
        <f t="shared" si="82"/>
        <v>▼</v>
      </c>
      <c r="AP27" s="63">
        <f>VLOOKUP($A24,'Июнь_2025'!$A$100:$M$111,10,0)</f>
        <v>3333.333333</v>
      </c>
      <c r="AQ27" s="155">
        <f t="shared" si="83"/>
        <v>-0.3181818182</v>
      </c>
      <c r="AR27" s="156" t="str">
        <f t="shared" si="84"/>
        <v>▼</v>
      </c>
    </row>
    <row r="28">
      <c r="A28" s="151" t="s">
        <v>19</v>
      </c>
      <c r="B28" s="69"/>
      <c r="C28" s="62">
        <f>VLOOKUP($A24,'Январь_2025'!$A$100:$M$111,11,0)</f>
        <v>0.03433476395</v>
      </c>
      <c r="D28" s="63">
        <f>VLOOKUP($A24,'Январь_2025'!$A$100:$M$111,12,0)</f>
        <v>11666.66667</v>
      </c>
      <c r="E28" s="152"/>
      <c r="F28" s="153" t="str">
        <f t="shared" si="64"/>
        <v> </v>
      </c>
      <c r="G28" s="63">
        <f>VLOOKUP($A24,'Январь_2025'!$A$100:$M$111,13,0)</f>
        <v>4812.5</v>
      </c>
      <c r="H28" s="94"/>
      <c r="I28" s="150"/>
      <c r="J28" s="62">
        <f>VLOOKUP($A24,'Февраль_2025'!$A$100:$M$111,11,0)</f>
        <v>0.03433476395</v>
      </c>
      <c r="K28" s="63">
        <f>VLOOKUP($A24,'Февраль_2025'!$A$100:$M$111,12,0)</f>
        <v>11000</v>
      </c>
      <c r="L28" s="155">
        <f t="shared" si="65"/>
        <v>-0.05714285714</v>
      </c>
      <c r="M28" s="153" t="str">
        <f t="shared" si="66"/>
        <v>▼</v>
      </c>
      <c r="N28" s="63">
        <f>VLOOKUP($A24,'Февраль_2025'!$A$100:$M$111,13,0)</f>
        <v>4812.5</v>
      </c>
      <c r="O28" s="155">
        <f t="shared" si="67"/>
        <v>0</v>
      </c>
      <c r="P28" s="156" t="str">
        <f t="shared" si="68"/>
        <v> </v>
      </c>
      <c r="Q28" s="62">
        <f>VLOOKUP($A24,'Март_2025'!$A$100:$M$111,11,0)</f>
        <v>0.03433476395</v>
      </c>
      <c r="R28" s="63">
        <f>VLOOKUP($A24,'Март_2025'!$A$100:$M$111,12,0)</f>
        <v>11428.57143</v>
      </c>
      <c r="S28" s="155">
        <f t="shared" si="69"/>
        <v>0.03896103896</v>
      </c>
      <c r="T28" s="153" t="str">
        <f t="shared" si="70"/>
        <v>▲</v>
      </c>
      <c r="U28" s="63">
        <f>VLOOKUP($A24,'Март_2025'!$A$100:$M$111,13,0)</f>
        <v>5000</v>
      </c>
      <c r="V28" s="155">
        <f t="shared" si="71"/>
        <v>0.03896103896</v>
      </c>
      <c r="W28" s="156" t="str">
        <f t="shared" si="72"/>
        <v>▲</v>
      </c>
      <c r="X28" s="62">
        <f>VLOOKUP($A24,'Апрель_2025'!$A$100:$M$111,11,0)</f>
        <v>0.03433476395</v>
      </c>
      <c r="Y28" s="63">
        <f>VLOOKUP($A24,'Апрель_2025'!$A$100:$M$111,12,0)</f>
        <v>11323.52941</v>
      </c>
      <c r="Z28" s="155">
        <f t="shared" si="73"/>
        <v>-0.009191176471</v>
      </c>
      <c r="AA28" s="153" t="str">
        <f t="shared" si="74"/>
        <v>▼</v>
      </c>
      <c r="AB28" s="63">
        <f>VLOOKUP($A24,'Апрель_2025'!$A$100:$M$111,13,0)</f>
        <v>4812.5</v>
      </c>
      <c r="AC28" s="155">
        <f t="shared" si="75"/>
        <v>-0.0375</v>
      </c>
      <c r="AD28" s="156" t="str">
        <f t="shared" si="76"/>
        <v>▼</v>
      </c>
      <c r="AE28" s="62">
        <f>VLOOKUP($A24,'Май_2025'!$A$100:$M$111,11,0)</f>
        <v>0.03433476395</v>
      </c>
      <c r="AF28" s="63">
        <f>VLOOKUP($A24,'Май_2025'!$A$100:$M$111,12,0)</f>
        <v>11000</v>
      </c>
      <c r="AG28" s="155">
        <f t="shared" si="77"/>
        <v>-0.02857142857</v>
      </c>
      <c r="AH28" s="153" t="str">
        <f t="shared" si="78"/>
        <v>▼</v>
      </c>
      <c r="AI28" s="63">
        <f>VLOOKUP($A24,'Май_2025'!$A$100:$M$111,13,0)</f>
        <v>4812.5</v>
      </c>
      <c r="AJ28" s="155">
        <f t="shared" si="79"/>
        <v>0</v>
      </c>
      <c r="AK28" s="156" t="str">
        <f t="shared" si="80"/>
        <v> </v>
      </c>
      <c r="AL28" s="62">
        <f>VLOOKUP($A24,'Июнь_2025'!$A$100:$M$111,11,0)</f>
        <v>0.03433476395</v>
      </c>
      <c r="AM28" s="63">
        <f>VLOOKUP($A24,'Июнь_2025'!$A$100:$M$111,12,0)</f>
        <v>9666.666667</v>
      </c>
      <c r="AN28" s="155">
        <f t="shared" si="81"/>
        <v>-0.1212121212</v>
      </c>
      <c r="AO28" s="153" t="str">
        <f t="shared" si="82"/>
        <v>▼</v>
      </c>
      <c r="AP28" s="63">
        <f>VLOOKUP($A24,'Июнь_2025'!$A$100:$M$111,13,0)</f>
        <v>3625</v>
      </c>
      <c r="AQ28" s="155">
        <f t="shared" si="83"/>
        <v>-0.2467532468</v>
      </c>
      <c r="AR28" s="156" t="str">
        <f t="shared" si="84"/>
        <v>▼</v>
      </c>
    </row>
    <row r="29">
      <c r="A29" s="158"/>
      <c r="B29" s="69"/>
      <c r="C29" s="62"/>
      <c r="D29" s="97"/>
      <c r="E29" s="94"/>
      <c r="F29" s="94"/>
      <c r="G29" s="94"/>
      <c r="H29" s="94"/>
      <c r="I29" s="150"/>
      <c r="J29" s="62"/>
      <c r="K29" s="97"/>
      <c r="L29" s="155"/>
      <c r="M29" s="153"/>
      <c r="N29" s="94"/>
      <c r="O29" s="155"/>
      <c r="P29" s="156"/>
      <c r="Q29" s="62"/>
      <c r="R29" s="97"/>
      <c r="S29" s="155"/>
      <c r="T29" s="153"/>
      <c r="U29" s="94"/>
      <c r="V29" s="155"/>
      <c r="W29" s="156"/>
      <c r="X29" s="62"/>
      <c r="Y29" s="97"/>
      <c r="Z29" s="155"/>
      <c r="AA29" s="153"/>
      <c r="AB29" s="94"/>
      <c r="AC29" s="155"/>
      <c r="AD29" s="156"/>
      <c r="AE29" s="62"/>
      <c r="AF29" s="97"/>
      <c r="AG29" s="155"/>
      <c r="AH29" s="153"/>
      <c r="AI29" s="94"/>
      <c r="AJ29" s="155"/>
      <c r="AK29" s="156"/>
      <c r="AL29" s="62"/>
      <c r="AM29" s="97"/>
      <c r="AN29" s="155"/>
      <c r="AO29" s="153"/>
      <c r="AP29" s="94"/>
      <c r="AQ29" s="155"/>
      <c r="AR29" s="156"/>
    </row>
    <row r="30">
      <c r="A30" s="149" t="s">
        <v>24</v>
      </c>
      <c r="B30" s="69"/>
      <c r="C30" s="62"/>
      <c r="D30" s="97"/>
      <c r="E30" s="94"/>
      <c r="F30" s="94"/>
      <c r="G30" s="94"/>
      <c r="H30" s="94"/>
      <c r="I30" s="150"/>
      <c r="J30" s="62"/>
      <c r="K30" s="97"/>
      <c r="L30" s="155"/>
      <c r="M30" s="153"/>
      <c r="N30" s="94"/>
      <c r="O30" s="155"/>
      <c r="P30" s="156"/>
      <c r="Q30" s="62"/>
      <c r="R30" s="97"/>
      <c r="S30" s="155"/>
      <c r="T30" s="153"/>
      <c r="U30" s="94"/>
      <c r="V30" s="155"/>
      <c r="W30" s="156"/>
      <c r="X30" s="62"/>
      <c r="Y30" s="97"/>
      <c r="Z30" s="155"/>
      <c r="AA30" s="153"/>
      <c r="AB30" s="94"/>
      <c r="AC30" s="155"/>
      <c r="AD30" s="156"/>
      <c r="AE30" s="62"/>
      <c r="AF30" s="97"/>
      <c r="AG30" s="155"/>
      <c r="AH30" s="153"/>
      <c r="AI30" s="94"/>
      <c r="AJ30" s="155"/>
      <c r="AK30" s="156"/>
      <c r="AL30" s="62"/>
      <c r="AM30" s="97"/>
      <c r="AN30" s="155"/>
      <c r="AO30" s="153"/>
      <c r="AP30" s="94"/>
      <c r="AQ30" s="155"/>
      <c r="AR30" s="156"/>
    </row>
    <row r="31">
      <c r="A31" s="151" t="s">
        <v>16</v>
      </c>
      <c r="B31" s="69"/>
      <c r="C31" s="62">
        <f>VLOOKUP($A30,'Январь_2025'!$A$100:$M$111,2,0)</f>
        <v>0.07422879177</v>
      </c>
      <c r="D31" s="63">
        <f>VLOOKUP($A30,'Январь_2025'!$A$100:$M$111,3,0)</f>
        <v>74722.22222</v>
      </c>
      <c r="E31" s="152"/>
      <c r="F31" s="153" t="str">
        <f t="shared" ref="F31:F34" si="85">IF(E31&gt;0,"▲",IF(E31&lt;0, "▼", " "))</f>
        <v> </v>
      </c>
      <c r="G31" s="63">
        <f>VLOOKUP($A30,'Январь_2025'!$A$100:$M$111,4,0)</f>
        <v>11645.02165</v>
      </c>
      <c r="H31" s="94"/>
      <c r="I31" s="150"/>
      <c r="J31" s="62">
        <f>VLOOKUP($A30,'Февраль_2025'!$A$100:$M$111,2,0)</f>
        <v>0.07422879177</v>
      </c>
      <c r="K31" s="63">
        <f>VLOOKUP($A30,'Февраль_2025'!$A$100:$M$111,3,0)</f>
        <v>55000</v>
      </c>
      <c r="L31" s="155">
        <f t="shared" ref="L31:L34" si="86">IFERROR(K31/D31-1,0)</f>
        <v>-0.2639405204</v>
      </c>
      <c r="M31" s="153" t="str">
        <f t="shared" ref="M31:M34" si="87">IF(L31&gt;0,"▲",IF(L31&lt;0, "▼", " "))</f>
        <v>▼</v>
      </c>
      <c r="N31" s="63">
        <f>VLOOKUP($A30,'Февраль_2025'!$A$100:$M$111,4,0)</f>
        <v>9523.809524</v>
      </c>
      <c r="O31" s="155">
        <f t="shared" ref="O31:O34" si="88">IFERROR(N31/G31-1,0)</f>
        <v>-0.1821561338</v>
      </c>
      <c r="P31" s="156" t="str">
        <f t="shared" ref="P31:P34" si="89">IF(O31&gt;0,"▲",IF(O31&lt;0, "▼", " "))</f>
        <v>▼</v>
      </c>
      <c r="Q31" s="62">
        <f>VLOOKUP($A30,'Март_2025'!$A$100:$M$111,2,0)</f>
        <v>0.07422879177</v>
      </c>
      <c r="R31" s="63">
        <f>VLOOKUP($A30,'Март_2025'!$A$100:$M$111,3,0)</f>
        <v>69230.76923</v>
      </c>
      <c r="S31" s="155">
        <f t="shared" ref="S31:S34" si="90">IFERROR(R31/K31-1,0)</f>
        <v>0.2587412587</v>
      </c>
      <c r="T31" s="153" t="str">
        <f t="shared" ref="T31:T34" si="91">IF(S31&gt;0,"▲",IF(S31&lt;0, "▼", " "))</f>
        <v>▲</v>
      </c>
      <c r="U31" s="63">
        <f>VLOOKUP($A30,'Март_2025'!$A$100:$M$111,4,0)</f>
        <v>11688.31169</v>
      </c>
      <c r="V31" s="155">
        <f t="shared" ref="V31:V34" si="92">IFERROR(U31/N31-1,0)</f>
        <v>0.2272727273</v>
      </c>
      <c r="W31" s="156" t="str">
        <f t="shared" ref="W31:W34" si="93">IF(V31&gt;0,"▲",IF(V31&lt;0, "▼", " "))</f>
        <v>▲</v>
      </c>
      <c r="X31" s="62">
        <f>VLOOKUP($A30,'Апрель_2025'!$A$100:$M$111,2,0)</f>
        <v>0.07422879177</v>
      </c>
      <c r="Y31" s="63">
        <f>VLOOKUP($A30,'Апрель_2025'!$A$100:$M$111,3,0)</f>
        <v>74722.22222</v>
      </c>
      <c r="Z31" s="155">
        <f t="shared" ref="Z31:Z34" si="94">IFERROR(Y31/R31-1,0)</f>
        <v>0.07932098765</v>
      </c>
      <c r="AA31" s="153" t="str">
        <f t="shared" ref="AA31:AA34" si="95">IF(Z31&gt;0,"▲",IF(Z31&lt;0, "▼", " "))</f>
        <v>▲</v>
      </c>
      <c r="AB31" s="63">
        <f>VLOOKUP($A30,'Апрель_2025'!$A$100:$M$111,4,0)</f>
        <v>11645.02165</v>
      </c>
      <c r="AC31" s="155">
        <f t="shared" ref="AC31:AC34" si="96">IFERROR(AB31/U31-1,0)</f>
        <v>-0.003703703704</v>
      </c>
      <c r="AD31" s="156" t="str">
        <f t="shared" ref="AD31:AD34" si="97">IF(AC31&gt;0,"▲",IF(AC31&lt;0, "▼", " "))</f>
        <v>▼</v>
      </c>
      <c r="AE31" s="62">
        <f>VLOOKUP($A30,'Май_2025'!$A$100:$M$111,2,0)</f>
        <v>0.07422879177</v>
      </c>
      <c r="AF31" s="63">
        <f>VLOOKUP($A30,'Май_2025'!$A$100:$M$111,3,0)</f>
        <v>74722.22222</v>
      </c>
      <c r="AG31" s="155">
        <f t="shared" ref="AG31:AG34" si="98">IFERROR(AF31/Y31-1,0)</f>
        <v>0</v>
      </c>
      <c r="AH31" s="153" t="str">
        <f t="shared" ref="AH31:AH34" si="99">IF(AG31&gt;0,"▲",IF(AG31&lt;0, "▼", " "))</f>
        <v> </v>
      </c>
      <c r="AI31" s="63">
        <f>VLOOKUP($A30,'Май_2025'!$A$100:$M$111,4,0)</f>
        <v>11645.02165</v>
      </c>
      <c r="AJ31" s="155">
        <f t="shared" ref="AJ31:AJ34" si="100">IFERROR(AI31/AB31-1,0)</f>
        <v>0</v>
      </c>
      <c r="AK31" s="156" t="str">
        <f t="shared" ref="AK31:AK34" si="101">IF(AJ31&gt;0,"▲",IF(AJ31&lt;0, "▼", " "))</f>
        <v> </v>
      </c>
      <c r="AL31" s="62">
        <f>VLOOKUP($A30,'Июнь_2025'!$A$100:$M$111,2,0)</f>
        <v>0.07422879177</v>
      </c>
      <c r="AM31" s="63">
        <f>VLOOKUP($A30,'Июнь_2025'!$A$100:$M$111,3,0)</f>
        <v>74722.22222</v>
      </c>
      <c r="AN31" s="155">
        <f t="shared" ref="AN31:AN34" si="102">IFERROR(AM31/AF31-1,0)</f>
        <v>0</v>
      </c>
      <c r="AO31" s="153" t="str">
        <f t="shared" ref="AO31:AO34" si="103">IF(AN31&gt;0,"▲",IF(AN31&lt;0, "▼", " "))</f>
        <v> </v>
      </c>
      <c r="AP31" s="63">
        <f>VLOOKUP($A30,'Июнь_2025'!$A$100:$M$111,4,0)</f>
        <v>11645.02165</v>
      </c>
      <c r="AQ31" s="155">
        <f t="shared" ref="AQ31:AQ34" si="104">IFERROR(AP31/AI31-1,0)</f>
        <v>0</v>
      </c>
      <c r="AR31" s="156" t="str">
        <f t="shared" ref="AR31:AR34" si="105">IF(AQ31&gt;0,"▲",IF(AQ31&lt;0, "▼", " "))</f>
        <v> </v>
      </c>
    </row>
    <row r="32">
      <c r="A32" s="157" t="s">
        <v>9</v>
      </c>
      <c r="B32" s="69"/>
      <c r="C32" s="62">
        <f>VLOOKUP($A30,'Январь_2025'!$A$100:$M$111,5,0)</f>
        <v>0.08272058824</v>
      </c>
      <c r="D32" s="63">
        <f>VLOOKUP($A30,'Январь_2025'!$A$100:$M$111,6,0)</f>
        <v>28125</v>
      </c>
      <c r="E32" s="152"/>
      <c r="F32" s="153" t="str">
        <f t="shared" si="85"/>
        <v> </v>
      </c>
      <c r="G32" s="63">
        <f>VLOOKUP($A30,'Январь_2025'!$A$100:$M$111,7,0)</f>
        <v>10000</v>
      </c>
      <c r="H32" s="94"/>
      <c r="I32" s="150"/>
      <c r="J32" s="62">
        <f>VLOOKUP($A30,'Февраль_2025'!$A$100:$M$111,5,0)</f>
        <v>0.08272058824</v>
      </c>
      <c r="K32" s="63">
        <f>VLOOKUP($A30,'Февраль_2025'!$A$100:$M$111,6,0)</f>
        <v>32600</v>
      </c>
      <c r="L32" s="155">
        <f t="shared" si="86"/>
        <v>0.1591111111</v>
      </c>
      <c r="M32" s="153" t="str">
        <f t="shared" si="87"/>
        <v>▲</v>
      </c>
      <c r="N32" s="63">
        <f>VLOOKUP($A30,'Февраль_2025'!$A$100:$M$111,7,0)</f>
        <v>9055.555556</v>
      </c>
      <c r="O32" s="155">
        <f t="shared" si="88"/>
        <v>-0.09444444444</v>
      </c>
      <c r="P32" s="156" t="str">
        <f t="shared" si="89"/>
        <v>▼</v>
      </c>
      <c r="Q32" s="62">
        <f>VLOOKUP($A30,'Март_2025'!$A$100:$M$111,5,0)</f>
        <v>0.08272058824</v>
      </c>
      <c r="R32" s="63">
        <f>VLOOKUP($A30,'Март_2025'!$A$100:$M$111,6,0)</f>
        <v>28615.38462</v>
      </c>
      <c r="S32" s="155">
        <f t="shared" si="90"/>
        <v>-0.1222274658</v>
      </c>
      <c r="T32" s="153" t="str">
        <f t="shared" si="91"/>
        <v>▼</v>
      </c>
      <c r="U32" s="63">
        <f>VLOOKUP($A30,'Март_2025'!$A$100:$M$111,7,0)</f>
        <v>10333.33333</v>
      </c>
      <c r="V32" s="155">
        <f t="shared" si="92"/>
        <v>0.1411042945</v>
      </c>
      <c r="W32" s="156" t="str">
        <f t="shared" si="93"/>
        <v>▲</v>
      </c>
      <c r="X32" s="62">
        <f>VLOOKUP($A30,'Апрель_2025'!$A$100:$M$111,5,0)</f>
        <v>0.08272058824</v>
      </c>
      <c r="Y32" s="63">
        <f>VLOOKUP($A30,'Апрель_2025'!$A$100:$M$111,6,0)</f>
        <v>28125</v>
      </c>
      <c r="Z32" s="155">
        <f t="shared" si="94"/>
        <v>-0.01713709677</v>
      </c>
      <c r="AA32" s="153" t="str">
        <f t="shared" si="95"/>
        <v>▼</v>
      </c>
      <c r="AB32" s="63">
        <f>VLOOKUP($A30,'Апрель_2025'!$A$100:$M$111,7,0)</f>
        <v>10000</v>
      </c>
      <c r="AC32" s="155">
        <f t="shared" si="96"/>
        <v>-0.03225806452</v>
      </c>
      <c r="AD32" s="156" t="str">
        <f t="shared" si="97"/>
        <v>▼</v>
      </c>
      <c r="AE32" s="62">
        <f>VLOOKUP($A30,'Май_2025'!$A$100:$M$111,5,0)</f>
        <v>0.08272058824</v>
      </c>
      <c r="AF32" s="63">
        <f>VLOOKUP($A30,'Май_2025'!$A$100:$M$111,6,0)</f>
        <v>27968.75</v>
      </c>
      <c r="AG32" s="155">
        <f t="shared" si="98"/>
        <v>-0.005555555556</v>
      </c>
      <c r="AH32" s="153" t="str">
        <f t="shared" si="99"/>
        <v>▼</v>
      </c>
      <c r="AI32" s="63">
        <f>VLOOKUP($A30,'Май_2025'!$A$100:$M$111,7,0)</f>
        <v>9944.444444</v>
      </c>
      <c r="AJ32" s="155">
        <f t="shared" si="100"/>
        <v>-0.005555555556</v>
      </c>
      <c r="AK32" s="156" t="str">
        <f t="shared" si="101"/>
        <v>▼</v>
      </c>
      <c r="AL32" s="62">
        <f>VLOOKUP($A30,'Июнь_2025'!$A$100:$M$111,5,0)</f>
        <v>0.08272058824</v>
      </c>
      <c r="AM32" s="63">
        <f>VLOOKUP($A30,'Июнь_2025'!$A$100:$M$111,6,0)</f>
        <v>28125</v>
      </c>
      <c r="AN32" s="155">
        <f t="shared" si="102"/>
        <v>0.005586592179</v>
      </c>
      <c r="AO32" s="153" t="str">
        <f t="shared" si="103"/>
        <v>▲</v>
      </c>
      <c r="AP32" s="63">
        <f>VLOOKUP($A30,'Июнь_2025'!$A$100:$M$111,7,0)</f>
        <v>10000</v>
      </c>
      <c r="AQ32" s="155">
        <f t="shared" si="104"/>
        <v>0.005586592179</v>
      </c>
      <c r="AR32" s="156" t="str">
        <f t="shared" si="105"/>
        <v>▲</v>
      </c>
    </row>
    <row r="33">
      <c r="A33" s="157" t="s">
        <v>13</v>
      </c>
      <c r="B33" s="69"/>
      <c r="C33" s="62">
        <f>VLOOKUP($A30,'Январь_2025'!$A$100:$M$111,8,0)</f>
        <v>0.08032345013</v>
      </c>
      <c r="D33" s="63">
        <f>VLOOKUP($A30,'Январь_2025'!$A$100:$M$111,9,0)</f>
        <v>95294.11765</v>
      </c>
      <c r="E33" s="152"/>
      <c r="F33" s="153" t="str">
        <f t="shared" si="85"/>
        <v> </v>
      </c>
      <c r="G33" s="63">
        <f>VLOOKUP($A30,'Январь_2025'!$A$100:$M$111,10,0)</f>
        <v>10872.48322</v>
      </c>
      <c r="H33" s="94"/>
      <c r="I33" s="150"/>
      <c r="J33" s="62">
        <f>VLOOKUP($A30,'Февраль_2025'!$A$100:$M$111,8,0)</f>
        <v>0.08032345013</v>
      </c>
      <c r="K33" s="63">
        <f>VLOOKUP($A30,'Февраль_2025'!$A$100:$M$111,9,0)</f>
        <v>107142.8571</v>
      </c>
      <c r="L33" s="155">
        <f t="shared" si="86"/>
        <v>0.1243386243</v>
      </c>
      <c r="M33" s="153" t="str">
        <f t="shared" si="87"/>
        <v>▲</v>
      </c>
      <c r="N33" s="63">
        <f>VLOOKUP($A30,'Февраль_2025'!$A$100:$M$111,10,0)</f>
        <v>10067.11409</v>
      </c>
      <c r="O33" s="155">
        <f t="shared" si="88"/>
        <v>-0.07407407407</v>
      </c>
      <c r="P33" s="156" t="str">
        <f t="shared" si="89"/>
        <v>▼</v>
      </c>
      <c r="Q33" s="62">
        <f>VLOOKUP($A30,'Март_2025'!$A$100:$M$111,8,0)</f>
        <v>0.08032345013</v>
      </c>
      <c r="R33" s="63">
        <f>VLOOKUP($A30,'Март_2025'!$A$100:$M$111,9,0)</f>
        <v>101666.6667</v>
      </c>
      <c r="S33" s="155">
        <f t="shared" si="90"/>
        <v>-0.05111111111</v>
      </c>
      <c r="T33" s="153" t="str">
        <f t="shared" si="91"/>
        <v>▼</v>
      </c>
      <c r="U33" s="63">
        <f>VLOOKUP($A30,'Март_2025'!$A$100:$M$111,10,0)</f>
        <v>12281.87919</v>
      </c>
      <c r="V33" s="155">
        <f t="shared" si="92"/>
        <v>0.22</v>
      </c>
      <c r="W33" s="156" t="str">
        <f t="shared" si="93"/>
        <v>▲</v>
      </c>
      <c r="X33" s="62">
        <f>VLOOKUP($A30,'Апрель_2025'!$A$100:$M$111,8,0)</f>
        <v>0.08032345013</v>
      </c>
      <c r="Y33" s="63">
        <f>VLOOKUP($A30,'Апрель_2025'!$A$100:$M$111,9,0)</f>
        <v>95294.11765</v>
      </c>
      <c r="Z33" s="155">
        <f t="shared" si="94"/>
        <v>-0.06268081003</v>
      </c>
      <c r="AA33" s="153" t="str">
        <f t="shared" si="95"/>
        <v>▼</v>
      </c>
      <c r="AB33" s="63">
        <f>VLOOKUP($A30,'Апрель_2025'!$A$100:$M$111,10,0)</f>
        <v>10872.48322</v>
      </c>
      <c r="AC33" s="155">
        <f t="shared" si="96"/>
        <v>-0.1147540984</v>
      </c>
      <c r="AD33" s="156" t="str">
        <f t="shared" si="97"/>
        <v>▼</v>
      </c>
      <c r="AE33" s="62">
        <f>VLOOKUP($A30,'Май_2025'!$A$100:$M$111,8,0)</f>
        <v>0.08032345013</v>
      </c>
      <c r="AF33" s="63">
        <f>VLOOKUP($A30,'Май_2025'!$A$100:$M$111,9,0)</f>
        <v>87894.73684</v>
      </c>
      <c r="AG33" s="155">
        <f t="shared" si="98"/>
        <v>-0.07764782326</v>
      </c>
      <c r="AH33" s="153" t="str">
        <f t="shared" si="99"/>
        <v>▼</v>
      </c>
      <c r="AI33" s="63">
        <f>VLOOKUP($A30,'Май_2025'!$A$100:$M$111,10,0)</f>
        <v>11208.05369</v>
      </c>
      <c r="AJ33" s="155">
        <f t="shared" si="100"/>
        <v>0.03086419753</v>
      </c>
      <c r="AK33" s="156" t="str">
        <f t="shared" si="101"/>
        <v>▲</v>
      </c>
      <c r="AL33" s="62">
        <f>VLOOKUP($A30,'Июнь_2025'!$A$100:$M$111,8,0)</f>
        <v>0.08032345013</v>
      </c>
      <c r="AM33" s="63">
        <f>VLOOKUP($A30,'Июнь_2025'!$A$100:$M$111,9,0)</f>
        <v>95294.11765</v>
      </c>
      <c r="AN33" s="155">
        <f t="shared" si="102"/>
        <v>0.08418457203</v>
      </c>
      <c r="AO33" s="153" t="str">
        <f t="shared" si="103"/>
        <v>▲</v>
      </c>
      <c r="AP33" s="63">
        <f>VLOOKUP($A30,'Июнь_2025'!$A$100:$M$111,10,0)</f>
        <v>10872.48322</v>
      </c>
      <c r="AQ33" s="155">
        <f t="shared" si="104"/>
        <v>-0.02994011976</v>
      </c>
      <c r="AR33" s="156" t="str">
        <f t="shared" si="105"/>
        <v>▼</v>
      </c>
    </row>
    <row r="34">
      <c r="A34" s="151" t="s">
        <v>19</v>
      </c>
      <c r="B34" s="69"/>
      <c r="C34" s="62">
        <f>VLOOKUP($A30,'Январь_2025'!$A$100:$M$111,11,0)</f>
        <v>0.0652360515</v>
      </c>
      <c r="D34" s="63">
        <f>VLOOKUP($A30,'Январь_2025'!$A$100:$M$111,12,0)</f>
        <v>27547.16981</v>
      </c>
      <c r="E34" s="152"/>
      <c r="F34" s="153" t="str">
        <f t="shared" si="85"/>
        <v> </v>
      </c>
      <c r="G34" s="63">
        <f>VLOOKUP($A30,'Январь_2025'!$A$100:$M$111,13,0)</f>
        <v>9605.263158</v>
      </c>
      <c r="H34" s="94"/>
      <c r="I34" s="150"/>
      <c r="J34" s="62">
        <f>VLOOKUP($A30,'Февраль_2025'!$A$100:$M$111,11,0)</f>
        <v>0.0652360515</v>
      </c>
      <c r="K34" s="63">
        <f>VLOOKUP($A30,'Февраль_2025'!$A$100:$M$111,12,0)</f>
        <v>27547.16981</v>
      </c>
      <c r="L34" s="155">
        <f t="shared" si="86"/>
        <v>0</v>
      </c>
      <c r="M34" s="153" t="str">
        <f t="shared" si="87"/>
        <v> </v>
      </c>
      <c r="N34" s="63">
        <f>VLOOKUP($A30,'Февраль_2025'!$A$100:$M$111,13,0)</f>
        <v>9605.263158</v>
      </c>
      <c r="O34" s="155">
        <f t="shared" si="88"/>
        <v>0</v>
      </c>
      <c r="P34" s="156" t="str">
        <f t="shared" si="89"/>
        <v> </v>
      </c>
      <c r="Q34" s="62">
        <f>VLOOKUP($A30,'Март_2025'!$A$100:$M$111,11,0)</f>
        <v>0.0652360515</v>
      </c>
      <c r="R34" s="63">
        <f>VLOOKUP($A30,'Март_2025'!$A$100:$M$111,12,0)</f>
        <v>31250</v>
      </c>
      <c r="S34" s="155">
        <f t="shared" si="90"/>
        <v>0.1344178082</v>
      </c>
      <c r="T34" s="153" t="str">
        <f t="shared" si="91"/>
        <v>▲</v>
      </c>
      <c r="U34" s="63">
        <f>VLOOKUP($A30,'Март_2025'!$A$100:$M$111,13,0)</f>
        <v>9868.421053</v>
      </c>
      <c r="V34" s="155">
        <f t="shared" si="92"/>
        <v>0.02739726027</v>
      </c>
      <c r="W34" s="156" t="str">
        <f t="shared" si="93"/>
        <v>▲</v>
      </c>
      <c r="X34" s="62">
        <f>VLOOKUP($A30,'Апрель_2025'!$A$100:$M$111,11,0)</f>
        <v>0.0652360515</v>
      </c>
      <c r="Y34" s="63">
        <f>VLOOKUP($A30,'Апрель_2025'!$A$100:$M$111,12,0)</f>
        <v>27547.16981</v>
      </c>
      <c r="Z34" s="155">
        <f t="shared" si="94"/>
        <v>-0.118490566</v>
      </c>
      <c r="AA34" s="153" t="str">
        <f t="shared" si="95"/>
        <v>▼</v>
      </c>
      <c r="AB34" s="63">
        <f>VLOOKUP($A30,'Апрель_2025'!$A$100:$M$111,13,0)</f>
        <v>9605.263158</v>
      </c>
      <c r="AC34" s="155">
        <f t="shared" si="96"/>
        <v>-0.02666666667</v>
      </c>
      <c r="AD34" s="156" t="str">
        <f t="shared" si="97"/>
        <v>▼</v>
      </c>
      <c r="AE34" s="62">
        <f>VLOOKUP($A30,'Май_2025'!$A$100:$M$111,11,0)</f>
        <v>0.0652360515</v>
      </c>
      <c r="AF34" s="63">
        <f>VLOOKUP($A30,'Май_2025'!$A$100:$M$111,12,0)</f>
        <v>27547.16981</v>
      </c>
      <c r="AG34" s="155">
        <f t="shared" si="98"/>
        <v>0</v>
      </c>
      <c r="AH34" s="153" t="str">
        <f t="shared" si="99"/>
        <v> </v>
      </c>
      <c r="AI34" s="63">
        <f>VLOOKUP($A30,'Май_2025'!$A$100:$M$111,13,0)</f>
        <v>9605.263158</v>
      </c>
      <c r="AJ34" s="155">
        <f t="shared" si="100"/>
        <v>0</v>
      </c>
      <c r="AK34" s="156" t="str">
        <f t="shared" si="101"/>
        <v> </v>
      </c>
      <c r="AL34" s="62">
        <f>VLOOKUP($A30,'Июнь_2025'!$A$100:$M$111,11,0)</f>
        <v>0.0652360515</v>
      </c>
      <c r="AM34" s="63">
        <f>VLOOKUP($A30,'Июнь_2025'!$A$100:$M$111,12,0)</f>
        <v>27547.16981</v>
      </c>
      <c r="AN34" s="155">
        <f t="shared" si="102"/>
        <v>0</v>
      </c>
      <c r="AO34" s="153" t="str">
        <f t="shared" si="103"/>
        <v> </v>
      </c>
      <c r="AP34" s="63">
        <f>VLOOKUP($A30,'Июнь_2025'!$A$100:$M$111,13,0)</f>
        <v>9605.263158</v>
      </c>
      <c r="AQ34" s="155">
        <f t="shared" si="104"/>
        <v>0</v>
      </c>
      <c r="AR34" s="156" t="str">
        <f t="shared" si="105"/>
        <v> </v>
      </c>
    </row>
    <row r="35">
      <c r="A35" s="158"/>
      <c r="B35" s="69"/>
      <c r="C35" s="62"/>
      <c r="D35" s="97"/>
      <c r="E35" s="94"/>
      <c r="F35" s="94"/>
      <c r="G35" s="94"/>
      <c r="H35" s="94"/>
      <c r="I35" s="150"/>
      <c r="J35" s="62"/>
      <c r="K35" s="97"/>
      <c r="L35" s="155"/>
      <c r="M35" s="153"/>
      <c r="N35" s="94"/>
      <c r="O35" s="155"/>
      <c r="P35" s="156"/>
      <c r="Q35" s="62"/>
      <c r="R35" s="97"/>
      <c r="S35" s="155"/>
      <c r="T35" s="153"/>
      <c r="U35" s="94"/>
      <c r="V35" s="155"/>
      <c r="W35" s="156"/>
      <c r="X35" s="62"/>
      <c r="Y35" s="97"/>
      <c r="Z35" s="155"/>
      <c r="AA35" s="153"/>
      <c r="AB35" s="94"/>
      <c r="AC35" s="155"/>
      <c r="AD35" s="156"/>
      <c r="AE35" s="62"/>
      <c r="AF35" s="97"/>
      <c r="AG35" s="155"/>
      <c r="AH35" s="153"/>
      <c r="AI35" s="94"/>
      <c r="AJ35" s="155"/>
      <c r="AK35" s="156"/>
      <c r="AL35" s="62"/>
      <c r="AM35" s="97"/>
      <c r="AN35" s="155"/>
      <c r="AO35" s="153"/>
      <c r="AP35" s="94"/>
      <c r="AQ35" s="155"/>
      <c r="AR35" s="156"/>
    </row>
    <row r="36">
      <c r="A36" s="149" t="s">
        <v>40</v>
      </c>
      <c r="B36" s="69"/>
      <c r="C36" s="62"/>
      <c r="D36" s="97"/>
      <c r="E36" s="94"/>
      <c r="F36" s="94"/>
      <c r="G36" s="94"/>
      <c r="H36" s="94"/>
      <c r="I36" s="150"/>
      <c r="J36" s="62"/>
      <c r="K36" s="97"/>
      <c r="L36" s="155"/>
      <c r="M36" s="153"/>
      <c r="N36" s="94"/>
      <c r="O36" s="155"/>
      <c r="P36" s="156"/>
      <c r="Q36" s="62"/>
      <c r="R36" s="97"/>
      <c r="S36" s="155"/>
      <c r="T36" s="153"/>
      <c r="U36" s="94"/>
      <c r="V36" s="155"/>
      <c r="W36" s="156"/>
      <c r="X36" s="62"/>
      <c r="Y36" s="97"/>
      <c r="Z36" s="155"/>
      <c r="AA36" s="153"/>
      <c r="AB36" s="94"/>
      <c r="AC36" s="155"/>
      <c r="AD36" s="156"/>
      <c r="AE36" s="62"/>
      <c r="AF36" s="97"/>
      <c r="AG36" s="155"/>
      <c r="AH36" s="153"/>
      <c r="AI36" s="94"/>
      <c r="AJ36" s="155"/>
      <c r="AK36" s="156"/>
      <c r="AL36" s="62"/>
      <c r="AM36" s="97"/>
      <c r="AN36" s="155"/>
      <c r="AO36" s="153"/>
      <c r="AP36" s="94"/>
      <c r="AQ36" s="155"/>
      <c r="AR36" s="156"/>
    </row>
    <row r="37">
      <c r="A37" s="151" t="s">
        <v>16</v>
      </c>
      <c r="B37" s="69"/>
      <c r="C37" s="62">
        <f>VLOOKUP($A36,'Январь_2025'!$A$100:$M$111,2,0)</f>
        <v>0.09511568123</v>
      </c>
      <c r="D37" s="63">
        <f>VLOOKUP($A36,'Январь_2025'!$A$100:$M$111,3,0)</f>
        <v>80769.23077</v>
      </c>
      <c r="E37" s="152"/>
      <c r="F37" s="153" t="str">
        <f t="shared" ref="F37:F40" si="106">IF(E37&gt;0,"▲",IF(E37&lt;0, "▼", " "))</f>
        <v> </v>
      </c>
      <c r="G37" s="63">
        <f>VLOOKUP($A36,'Январь_2025'!$A$100:$M$111,4,0)</f>
        <v>14189.18919</v>
      </c>
      <c r="H37" s="94"/>
      <c r="I37" s="150"/>
      <c r="J37" s="62">
        <f>VLOOKUP($A36,'Февраль_2025'!$A$100:$M$111,2,0)</f>
        <v>0.09511568123</v>
      </c>
      <c r="K37" s="63">
        <f>VLOOKUP($A36,'Февраль_2025'!$A$100:$M$111,3,0)</f>
        <v>80769.23077</v>
      </c>
      <c r="L37" s="155">
        <f t="shared" ref="L37:L40" si="107">IFERROR(K37/D37-1,0)</f>
        <v>0</v>
      </c>
      <c r="M37" s="153" t="str">
        <f t="shared" ref="M37:M40" si="108">IF(L37&gt;0,"▲",IF(L37&lt;0, "▼", " "))</f>
        <v> </v>
      </c>
      <c r="N37" s="63">
        <f>VLOOKUP($A36,'Февраль_2025'!$A$100:$M$111,4,0)</f>
        <v>14189.18919</v>
      </c>
      <c r="O37" s="155">
        <f t="shared" ref="O37:O40" si="109">IFERROR(N37/G37-1,0)</f>
        <v>0</v>
      </c>
      <c r="P37" s="156" t="str">
        <f t="shared" ref="P37:P40" si="110">IF(O37&gt;0,"▲",IF(O37&lt;0, "▼", " "))</f>
        <v> </v>
      </c>
      <c r="Q37" s="62">
        <f>VLOOKUP($A36,'Март_2025'!$A$100:$M$111,2,0)</f>
        <v>0.09511568123</v>
      </c>
      <c r="R37" s="63">
        <f>VLOOKUP($A36,'Март_2025'!$A$100:$M$111,3,0)</f>
        <v>76923.07692</v>
      </c>
      <c r="S37" s="155">
        <f t="shared" ref="S37:S40" si="111">IFERROR(R37/K37-1,0)</f>
        <v>-0.04761904762</v>
      </c>
      <c r="T37" s="153" t="str">
        <f t="shared" ref="T37:T40" si="112">IF(S37&gt;0,"▲",IF(S37&lt;0, "▼", " "))</f>
        <v>▼</v>
      </c>
      <c r="U37" s="63">
        <f>VLOOKUP($A36,'Март_2025'!$A$100:$M$111,4,0)</f>
        <v>13513.51351</v>
      </c>
      <c r="V37" s="155">
        <f t="shared" ref="V37:V40" si="113">IFERROR(U37/N37-1,0)</f>
        <v>-0.04761904762</v>
      </c>
      <c r="W37" s="156" t="str">
        <f t="shared" ref="W37:W40" si="114">IF(V37&gt;0,"▲",IF(V37&lt;0, "▼", " "))</f>
        <v>▼</v>
      </c>
      <c r="X37" s="62">
        <f>VLOOKUP($A36,'Апрель_2025'!$A$100:$M$111,2,0)</f>
        <v>0.09511568123</v>
      </c>
      <c r="Y37" s="63">
        <f>VLOOKUP($A36,'Апрель_2025'!$A$100:$M$111,3,0)</f>
        <v>80769.23077</v>
      </c>
      <c r="Z37" s="155">
        <f t="shared" ref="Z37:Z40" si="115">IFERROR(Y37/R37-1,0)</f>
        <v>0.05</v>
      </c>
      <c r="AA37" s="153" t="str">
        <f t="shared" ref="AA37:AA40" si="116">IF(Z37&gt;0,"▲",IF(Z37&lt;0, "▼", " "))</f>
        <v>▲</v>
      </c>
      <c r="AB37" s="63">
        <f>VLOOKUP($A36,'Апрель_2025'!$A$100:$M$111,4,0)</f>
        <v>14189.18919</v>
      </c>
      <c r="AC37" s="155">
        <f t="shared" ref="AC37:AC40" si="117">IFERROR(AB37/U37-1,0)</f>
        <v>0.05</v>
      </c>
      <c r="AD37" s="156" t="str">
        <f t="shared" ref="AD37:AD40" si="118">IF(AC37&gt;0,"▲",IF(AC37&lt;0, "▼", " "))</f>
        <v>▲</v>
      </c>
      <c r="AE37" s="62">
        <f>VLOOKUP($A36,'Май_2025'!$A$100:$M$111,2,0)</f>
        <v>0.09511568123</v>
      </c>
      <c r="AF37" s="63">
        <f>VLOOKUP($A36,'Май_2025'!$A$100:$M$111,3,0)</f>
        <v>80769.23077</v>
      </c>
      <c r="AG37" s="155">
        <f t="shared" ref="AG37:AG40" si="119">IFERROR(AF37/Y37-1,0)</f>
        <v>0</v>
      </c>
      <c r="AH37" s="153" t="str">
        <f t="shared" ref="AH37:AH40" si="120">IF(AG37&gt;0,"▲",IF(AG37&lt;0, "▼", " "))</f>
        <v> </v>
      </c>
      <c r="AI37" s="63">
        <f>VLOOKUP($A36,'Май_2025'!$A$100:$M$111,4,0)</f>
        <v>14189.18919</v>
      </c>
      <c r="AJ37" s="155">
        <f t="shared" ref="AJ37:AJ40" si="121">IFERROR(AI37/AB37-1,0)</f>
        <v>0</v>
      </c>
      <c r="AK37" s="156" t="str">
        <f t="shared" ref="AK37:AK40" si="122">IF(AJ37&gt;0,"▲",IF(AJ37&lt;0, "▼", " "))</f>
        <v> </v>
      </c>
      <c r="AL37" s="62">
        <f>VLOOKUP($A36,'Июнь_2025'!$A$100:$M$111,2,0)</f>
        <v>0.09511568123</v>
      </c>
      <c r="AM37" s="63">
        <f>VLOOKUP($A36,'Июнь_2025'!$A$100:$M$111,3,0)</f>
        <v>80769.23077</v>
      </c>
      <c r="AN37" s="155">
        <f t="shared" ref="AN37:AN40" si="123">IFERROR(AM37/AF37-1,0)</f>
        <v>0</v>
      </c>
      <c r="AO37" s="153" t="str">
        <f t="shared" ref="AO37:AO40" si="124">IF(AN37&gt;0,"▲",IF(AN37&lt;0, "▼", " "))</f>
        <v> </v>
      </c>
      <c r="AP37" s="63">
        <f>VLOOKUP($A36,'Июнь_2025'!$A$100:$M$111,4,0)</f>
        <v>14189.18919</v>
      </c>
      <c r="AQ37" s="155">
        <f t="shared" ref="AQ37:AQ40" si="125">IFERROR(AP37/AI37-1,0)</f>
        <v>0</v>
      </c>
      <c r="AR37" s="156" t="str">
        <f t="shared" ref="AR37:AR40" si="126">IF(AQ37&gt;0,"▲",IF(AQ37&lt;0, "▼", " "))</f>
        <v> </v>
      </c>
    </row>
    <row r="38">
      <c r="A38" s="157" t="s">
        <v>9</v>
      </c>
      <c r="B38" s="69"/>
      <c r="C38" s="62">
        <f>VLOOKUP($A36,'Январь_2025'!$A$100:$M$111,5,0)</f>
        <v>0.2045036765</v>
      </c>
      <c r="D38" s="63">
        <f>VLOOKUP($A36,'Январь_2025'!$A$100:$M$111,6,0)</f>
        <v>61437.5</v>
      </c>
      <c r="E38" s="152"/>
      <c r="F38" s="153" t="str">
        <f t="shared" si="106"/>
        <v> </v>
      </c>
      <c r="G38" s="63">
        <f>VLOOKUP($A36,'Январь_2025'!$A$100:$M$111,7,0)</f>
        <v>11044.94382</v>
      </c>
      <c r="H38" s="94"/>
      <c r="I38" s="150"/>
      <c r="J38" s="62">
        <f>VLOOKUP($A36,'Февраль_2025'!$A$100:$M$111,5,0)</f>
        <v>0.2045036765</v>
      </c>
      <c r="K38" s="63">
        <f>VLOOKUP($A36,'Февраль_2025'!$A$100:$M$111,6,0)</f>
        <v>66666.66667</v>
      </c>
      <c r="L38" s="155">
        <f t="shared" si="107"/>
        <v>0.08511359783</v>
      </c>
      <c r="M38" s="153" t="str">
        <f t="shared" si="108"/>
        <v>▲</v>
      </c>
      <c r="N38" s="63">
        <f>VLOOKUP($A36,'Февраль_2025'!$A$100:$M$111,7,0)</f>
        <v>10786.51685</v>
      </c>
      <c r="O38" s="155">
        <f t="shared" si="109"/>
        <v>-0.02339776195</v>
      </c>
      <c r="P38" s="156" t="str">
        <f t="shared" si="110"/>
        <v>▼</v>
      </c>
      <c r="Q38" s="62">
        <f>VLOOKUP($A36,'Март_2025'!$A$100:$M$111,5,0)</f>
        <v>0.2045036765</v>
      </c>
      <c r="R38" s="63">
        <f>VLOOKUP($A36,'Март_2025'!$A$100:$M$111,6,0)</f>
        <v>58750</v>
      </c>
      <c r="S38" s="155">
        <f t="shared" si="111"/>
        <v>-0.11875</v>
      </c>
      <c r="T38" s="153" t="str">
        <f t="shared" si="112"/>
        <v>▼</v>
      </c>
      <c r="U38" s="63">
        <f>VLOOKUP($A36,'Март_2025'!$A$100:$M$111,7,0)</f>
        <v>10561.79775</v>
      </c>
      <c r="V38" s="155">
        <f t="shared" si="113"/>
        <v>-0.02083333333</v>
      </c>
      <c r="W38" s="156" t="str">
        <f t="shared" si="114"/>
        <v>▼</v>
      </c>
      <c r="X38" s="62">
        <f>VLOOKUP($A36,'Апрель_2025'!$A$100:$M$111,5,0)</f>
        <v>0.2045036765</v>
      </c>
      <c r="Y38" s="63">
        <f>VLOOKUP($A36,'Апрель_2025'!$A$100:$M$111,6,0)</f>
        <v>61437.5</v>
      </c>
      <c r="Z38" s="155">
        <f t="shared" si="115"/>
        <v>0.04574468085</v>
      </c>
      <c r="AA38" s="153" t="str">
        <f t="shared" si="116"/>
        <v>▲</v>
      </c>
      <c r="AB38" s="63">
        <f>VLOOKUP($A36,'Апрель_2025'!$A$100:$M$111,7,0)</f>
        <v>11044.94382</v>
      </c>
      <c r="AC38" s="155">
        <f t="shared" si="117"/>
        <v>0.04574468085</v>
      </c>
      <c r="AD38" s="156" t="str">
        <f t="shared" si="118"/>
        <v>▲</v>
      </c>
      <c r="AE38" s="62">
        <f>VLOOKUP($A36,'Май_2025'!$A$100:$M$111,5,0)</f>
        <v>0.2045036765</v>
      </c>
      <c r="AF38" s="63">
        <f>VLOOKUP($A36,'Май_2025'!$A$100:$M$111,6,0)</f>
        <v>61437.5</v>
      </c>
      <c r="AG38" s="155">
        <f t="shared" si="119"/>
        <v>0</v>
      </c>
      <c r="AH38" s="153" t="str">
        <f t="shared" si="120"/>
        <v> </v>
      </c>
      <c r="AI38" s="63">
        <f>VLOOKUP($A36,'Май_2025'!$A$100:$M$111,7,0)</f>
        <v>11044.94382</v>
      </c>
      <c r="AJ38" s="155">
        <f t="shared" si="121"/>
        <v>0</v>
      </c>
      <c r="AK38" s="156" t="str">
        <f t="shared" si="122"/>
        <v> </v>
      </c>
      <c r="AL38" s="62">
        <f>VLOOKUP($A36,'Июнь_2025'!$A$100:$M$111,5,0)</f>
        <v>0.2045036765</v>
      </c>
      <c r="AM38" s="63">
        <f>VLOOKUP($A36,'Июнь_2025'!$A$100:$M$111,6,0)</f>
        <v>61437.5</v>
      </c>
      <c r="AN38" s="155">
        <f t="shared" si="123"/>
        <v>0</v>
      </c>
      <c r="AO38" s="153" t="str">
        <f t="shared" si="124"/>
        <v> </v>
      </c>
      <c r="AP38" s="63">
        <f>VLOOKUP($A36,'Июнь_2025'!$A$100:$M$111,7,0)</f>
        <v>11044.94382</v>
      </c>
      <c r="AQ38" s="155">
        <f t="shared" si="125"/>
        <v>0</v>
      </c>
      <c r="AR38" s="156" t="str">
        <f t="shared" si="126"/>
        <v> </v>
      </c>
    </row>
    <row r="39">
      <c r="A39" s="157" t="s">
        <v>13</v>
      </c>
      <c r="B39" s="69"/>
      <c r="C39" s="62">
        <f>VLOOKUP($A36,'Январь_2025'!$A$100:$M$111,8,0)</f>
        <v>0.1326145553</v>
      </c>
      <c r="D39" s="63">
        <f>VLOOKUP($A36,'Январь_2025'!$A$100:$M$111,9,0)</f>
        <v>93103.44828</v>
      </c>
      <c r="E39" s="152"/>
      <c r="F39" s="153" t="str">
        <f t="shared" si="106"/>
        <v> </v>
      </c>
      <c r="G39" s="63">
        <f>VLOOKUP($A36,'Январь_2025'!$A$100:$M$111,10,0)</f>
        <v>10975.60976</v>
      </c>
      <c r="H39" s="94"/>
      <c r="I39" s="150"/>
      <c r="J39" s="62">
        <f>VLOOKUP($A36,'Февраль_2025'!$A$100:$M$111,8,0)</f>
        <v>0.1326145553</v>
      </c>
      <c r="K39" s="63">
        <f>VLOOKUP($A36,'Февраль_2025'!$A$100:$M$111,9,0)</f>
        <v>93103.44828</v>
      </c>
      <c r="L39" s="155">
        <f t="shared" si="107"/>
        <v>0</v>
      </c>
      <c r="M39" s="153" t="str">
        <f t="shared" si="108"/>
        <v> </v>
      </c>
      <c r="N39" s="63">
        <f>VLOOKUP($A36,'Февраль_2025'!$A$100:$M$111,10,0)</f>
        <v>10975.60976</v>
      </c>
      <c r="O39" s="155">
        <f t="shared" si="109"/>
        <v>0</v>
      </c>
      <c r="P39" s="156" t="str">
        <f t="shared" si="110"/>
        <v> </v>
      </c>
      <c r="Q39" s="62">
        <f>VLOOKUP($A36,'Март_2025'!$A$100:$M$111,8,0)</f>
        <v>0.1326145553</v>
      </c>
      <c r="R39" s="63">
        <f>VLOOKUP($A36,'Март_2025'!$A$100:$M$111,9,0)</f>
        <v>91379.31034</v>
      </c>
      <c r="S39" s="155">
        <f t="shared" si="111"/>
        <v>-0.01851851852</v>
      </c>
      <c r="T39" s="153" t="str">
        <f t="shared" si="112"/>
        <v>▼</v>
      </c>
      <c r="U39" s="63">
        <f>VLOOKUP($A36,'Март_2025'!$A$100:$M$111,10,0)</f>
        <v>10772.35772</v>
      </c>
      <c r="V39" s="155">
        <f t="shared" si="113"/>
        <v>-0.01851851852</v>
      </c>
      <c r="W39" s="156" t="str">
        <f t="shared" si="114"/>
        <v>▼</v>
      </c>
      <c r="X39" s="62">
        <f>VLOOKUP($A36,'Апрель_2025'!$A$100:$M$111,8,0)</f>
        <v>0.1326145553</v>
      </c>
      <c r="Y39" s="63">
        <f>VLOOKUP($A36,'Апрель_2025'!$A$100:$M$111,9,0)</f>
        <v>80689.65517</v>
      </c>
      <c r="Z39" s="155">
        <f t="shared" si="115"/>
        <v>-0.1169811321</v>
      </c>
      <c r="AA39" s="153" t="str">
        <f t="shared" si="116"/>
        <v>▼</v>
      </c>
      <c r="AB39" s="63">
        <f>VLOOKUP($A36,'Апрель_2025'!$A$100:$M$111,10,0)</f>
        <v>9512.195122</v>
      </c>
      <c r="AC39" s="155">
        <f t="shared" si="117"/>
        <v>-0.1169811321</v>
      </c>
      <c r="AD39" s="156" t="str">
        <f t="shared" si="118"/>
        <v>▼</v>
      </c>
      <c r="AE39" s="62">
        <f>VLOOKUP($A36,'Май_2025'!$A$100:$M$111,8,0)</f>
        <v>0.1326145553</v>
      </c>
      <c r="AF39" s="63">
        <f>VLOOKUP($A36,'Май_2025'!$A$100:$M$111,9,0)</f>
        <v>77142.85714</v>
      </c>
      <c r="AG39" s="155">
        <f t="shared" si="119"/>
        <v>-0.04395604396</v>
      </c>
      <c r="AH39" s="153" t="str">
        <f t="shared" si="120"/>
        <v>▼</v>
      </c>
      <c r="AI39" s="63">
        <f>VLOOKUP($A36,'Май_2025'!$A$100:$M$111,10,0)</f>
        <v>10975.60976</v>
      </c>
      <c r="AJ39" s="155">
        <f t="shared" si="121"/>
        <v>0.1538461538</v>
      </c>
      <c r="AK39" s="156" t="str">
        <f t="shared" si="122"/>
        <v>▲</v>
      </c>
      <c r="AL39" s="62">
        <f>VLOOKUP($A36,'Июнь_2025'!$A$100:$M$111,8,0)</f>
        <v>0.1326145553</v>
      </c>
      <c r="AM39" s="63">
        <f>VLOOKUP($A36,'Июнь_2025'!$A$100:$M$111,9,0)</f>
        <v>93103.44828</v>
      </c>
      <c r="AN39" s="155">
        <f t="shared" si="123"/>
        <v>0.2068965517</v>
      </c>
      <c r="AO39" s="153" t="str">
        <f t="shared" si="124"/>
        <v>▲</v>
      </c>
      <c r="AP39" s="63">
        <f>VLOOKUP($A36,'Июнь_2025'!$A$100:$M$111,10,0)</f>
        <v>10975.60976</v>
      </c>
      <c r="AQ39" s="155">
        <f t="shared" si="125"/>
        <v>0</v>
      </c>
      <c r="AR39" s="156" t="str">
        <f t="shared" si="126"/>
        <v> </v>
      </c>
    </row>
    <row r="40">
      <c r="A40" s="151" t="s">
        <v>19</v>
      </c>
      <c r="B40" s="69"/>
      <c r="C40" s="62">
        <f>VLOOKUP($A36,'Январь_2025'!$A$100:$M$111,11,0)</f>
        <v>0.09270386266</v>
      </c>
      <c r="D40" s="63">
        <f>VLOOKUP($A36,'Январь_2025'!$A$100:$M$111,12,0)</f>
        <v>146851.8519</v>
      </c>
      <c r="E40" s="152"/>
      <c r="F40" s="153" t="str">
        <f t="shared" si="106"/>
        <v> </v>
      </c>
      <c r="G40" s="63">
        <f>VLOOKUP($A36,'Январь_2025'!$A$100:$M$111,13,0)</f>
        <v>18356.48148</v>
      </c>
      <c r="H40" s="94"/>
      <c r="I40" s="150"/>
      <c r="J40" s="62">
        <f>VLOOKUP($A36,'Февраль_2025'!$A$100:$M$111,11,0)</f>
        <v>0.09270386266</v>
      </c>
      <c r="K40" s="63">
        <f>VLOOKUP($A36,'Февраль_2025'!$A$100:$M$111,12,0)</f>
        <v>144807.6923</v>
      </c>
      <c r="L40" s="155">
        <f t="shared" si="107"/>
        <v>-0.01391987584</v>
      </c>
      <c r="M40" s="153" t="str">
        <f t="shared" si="108"/>
        <v>▼</v>
      </c>
      <c r="N40" s="63">
        <f>VLOOKUP($A36,'Февраль_2025'!$A$100:$M$111,13,0)</f>
        <v>17430.55556</v>
      </c>
      <c r="O40" s="155">
        <f t="shared" si="109"/>
        <v>-0.05044136192</v>
      </c>
      <c r="P40" s="156" t="str">
        <f t="shared" si="110"/>
        <v>▼</v>
      </c>
      <c r="Q40" s="62">
        <f>VLOOKUP($A36,'Март_2025'!$A$100:$M$111,11,0)</f>
        <v>0.09270386266</v>
      </c>
      <c r="R40" s="63">
        <f>VLOOKUP($A36,'Март_2025'!$A$100:$M$111,12,0)</f>
        <v>151851.8519</v>
      </c>
      <c r="S40" s="155">
        <f t="shared" si="111"/>
        <v>0.04864492647</v>
      </c>
      <c r="T40" s="153" t="str">
        <f t="shared" si="112"/>
        <v>▲</v>
      </c>
      <c r="U40" s="63">
        <f>VLOOKUP($A36,'Март_2025'!$A$100:$M$111,13,0)</f>
        <v>18981.48148</v>
      </c>
      <c r="V40" s="155">
        <f t="shared" si="113"/>
        <v>0.08897742364</v>
      </c>
      <c r="W40" s="156" t="str">
        <f t="shared" si="114"/>
        <v>▲</v>
      </c>
      <c r="X40" s="62">
        <f>VLOOKUP($A36,'Апрель_2025'!$A$100:$M$111,11,0)</f>
        <v>0.09270386266</v>
      </c>
      <c r="Y40" s="63">
        <f>VLOOKUP($A36,'Апрель_2025'!$A$100:$M$111,12,0)</f>
        <v>146851.8519</v>
      </c>
      <c r="Z40" s="155">
        <f t="shared" si="115"/>
        <v>-0.03292682927</v>
      </c>
      <c r="AA40" s="153" t="str">
        <f t="shared" si="116"/>
        <v>▼</v>
      </c>
      <c r="AB40" s="63">
        <f>VLOOKUP($A36,'Апрель_2025'!$A$100:$M$111,13,0)</f>
        <v>18356.48148</v>
      </c>
      <c r="AC40" s="155">
        <f t="shared" si="117"/>
        <v>-0.03292682927</v>
      </c>
      <c r="AD40" s="156" t="str">
        <f t="shared" si="118"/>
        <v>▼</v>
      </c>
      <c r="AE40" s="62">
        <f>VLOOKUP($A36,'Май_2025'!$A$100:$M$111,11,0)</f>
        <v>0.09270386266</v>
      </c>
      <c r="AF40" s="63">
        <f>VLOOKUP($A36,'Май_2025'!$A$100:$M$111,12,0)</f>
        <v>146851.8519</v>
      </c>
      <c r="AG40" s="155">
        <f t="shared" si="119"/>
        <v>0</v>
      </c>
      <c r="AH40" s="153" t="str">
        <f t="shared" si="120"/>
        <v> </v>
      </c>
      <c r="AI40" s="63">
        <f>VLOOKUP($A36,'Май_2025'!$A$100:$M$111,13,0)</f>
        <v>18356.48148</v>
      </c>
      <c r="AJ40" s="155">
        <f t="shared" si="121"/>
        <v>0</v>
      </c>
      <c r="AK40" s="156" t="str">
        <f t="shared" si="122"/>
        <v> </v>
      </c>
      <c r="AL40" s="62">
        <f>VLOOKUP($A36,'Июнь_2025'!$A$100:$M$111,11,0)</f>
        <v>0.09270386266</v>
      </c>
      <c r="AM40" s="63">
        <f>VLOOKUP($A36,'Июнь_2025'!$A$100:$M$111,12,0)</f>
        <v>146851.8519</v>
      </c>
      <c r="AN40" s="155">
        <f t="shared" si="123"/>
        <v>0</v>
      </c>
      <c r="AO40" s="153" t="str">
        <f t="shared" si="124"/>
        <v> </v>
      </c>
      <c r="AP40" s="63">
        <f>VLOOKUP($A36,'Июнь_2025'!$A$100:$M$111,13,0)</f>
        <v>18356.48148</v>
      </c>
      <c r="AQ40" s="155">
        <f t="shared" si="125"/>
        <v>0</v>
      </c>
      <c r="AR40" s="156" t="str">
        <f t="shared" si="126"/>
        <v> </v>
      </c>
    </row>
    <row r="41">
      <c r="A41" s="158"/>
      <c r="B41" s="69"/>
      <c r="C41" s="62"/>
      <c r="D41" s="97"/>
      <c r="E41" s="94"/>
      <c r="F41" s="94"/>
      <c r="G41" s="94"/>
      <c r="H41" s="94"/>
      <c r="I41" s="150"/>
      <c r="J41" s="62"/>
      <c r="K41" s="97"/>
      <c r="L41" s="155"/>
      <c r="M41" s="153"/>
      <c r="N41" s="94"/>
      <c r="O41" s="155"/>
      <c r="P41" s="156"/>
      <c r="Q41" s="62"/>
      <c r="R41" s="97"/>
      <c r="S41" s="155"/>
      <c r="T41" s="153"/>
      <c r="U41" s="94"/>
      <c r="V41" s="155"/>
      <c r="W41" s="156"/>
      <c r="X41" s="62"/>
      <c r="Y41" s="97"/>
      <c r="Z41" s="155"/>
      <c r="AA41" s="153"/>
      <c r="AB41" s="94"/>
      <c r="AC41" s="155"/>
      <c r="AD41" s="156"/>
      <c r="AE41" s="62"/>
      <c r="AF41" s="97"/>
      <c r="AG41" s="155"/>
      <c r="AH41" s="153"/>
      <c r="AI41" s="94"/>
      <c r="AJ41" s="155"/>
      <c r="AK41" s="156"/>
      <c r="AL41" s="62"/>
      <c r="AM41" s="97"/>
      <c r="AN41" s="155"/>
      <c r="AO41" s="153"/>
      <c r="AP41" s="94"/>
      <c r="AQ41" s="155"/>
      <c r="AR41" s="156"/>
    </row>
    <row r="42">
      <c r="A42" s="149" t="s">
        <v>121</v>
      </c>
      <c r="B42" s="69"/>
      <c r="C42" s="62"/>
      <c r="D42" s="97"/>
      <c r="E42" s="94"/>
      <c r="F42" s="94"/>
      <c r="G42" s="94"/>
      <c r="H42" s="94"/>
      <c r="I42" s="150"/>
      <c r="J42" s="62"/>
      <c r="K42" s="97"/>
      <c r="L42" s="155"/>
      <c r="M42" s="153"/>
      <c r="N42" s="94"/>
      <c r="O42" s="155"/>
      <c r="P42" s="156"/>
      <c r="Q42" s="62"/>
      <c r="R42" s="97"/>
      <c r="S42" s="155"/>
      <c r="T42" s="153"/>
      <c r="U42" s="94"/>
      <c r="V42" s="155"/>
      <c r="W42" s="156"/>
      <c r="X42" s="62"/>
      <c r="Y42" s="97"/>
      <c r="Z42" s="155"/>
      <c r="AA42" s="153"/>
      <c r="AB42" s="94"/>
      <c r="AC42" s="155"/>
      <c r="AD42" s="156"/>
      <c r="AE42" s="62"/>
      <c r="AF42" s="97"/>
      <c r="AG42" s="155"/>
      <c r="AH42" s="153"/>
      <c r="AI42" s="94"/>
      <c r="AJ42" s="155"/>
      <c r="AK42" s="156"/>
      <c r="AL42" s="62"/>
      <c r="AM42" s="97"/>
      <c r="AN42" s="155"/>
      <c r="AO42" s="153"/>
      <c r="AP42" s="94"/>
      <c r="AQ42" s="155"/>
      <c r="AR42" s="156"/>
    </row>
    <row r="43">
      <c r="A43" s="151" t="s">
        <v>16</v>
      </c>
      <c r="B43" s="69"/>
      <c r="C43" s="62">
        <f>VLOOKUP($A42,'Январь_2025'!$A$100:$M$111,2,0)</f>
        <v>0.02570694087</v>
      </c>
      <c r="D43" s="63">
        <f>VLOOKUP($A42,'Январь_2025'!$A$100:$M$111,3,0)</f>
        <v>87083.33333</v>
      </c>
      <c r="E43" s="152"/>
      <c r="F43" s="153" t="str">
        <f t="shared" ref="F43:F46" si="127">IF(E43&gt;0,"▲",IF(E43&lt;0, "▼", " "))</f>
        <v> </v>
      </c>
      <c r="G43" s="63">
        <f>VLOOKUP($A42,'Январь_2025'!$A$100:$M$111,4,0)</f>
        <v>26125</v>
      </c>
      <c r="H43" s="94"/>
      <c r="I43" s="150"/>
      <c r="J43" s="62">
        <f>VLOOKUP($A42,'Февраль_2025'!$A$100:$M$111,2,0)</f>
        <v>0.02570694087</v>
      </c>
      <c r="K43" s="63">
        <f>VLOOKUP($A42,'Февраль_2025'!$A$100:$M$111,3,0)</f>
        <v>87083.33333</v>
      </c>
      <c r="L43" s="155">
        <f t="shared" ref="L43:L46" si="128">IFERROR(K43/D43-1,0)</f>
        <v>0</v>
      </c>
      <c r="M43" s="153" t="str">
        <f t="shared" ref="M43:M46" si="129">IF(L43&gt;0,"▲",IF(L43&lt;0, "▼", " "))</f>
        <v> </v>
      </c>
      <c r="N43" s="63">
        <f>VLOOKUP($A42,'Февраль_2025'!$A$100:$M$111,4,0)</f>
        <v>26125</v>
      </c>
      <c r="O43" s="155">
        <f t="shared" ref="O43:O46" si="130">IFERROR(N43/G43-1,0)</f>
        <v>0</v>
      </c>
      <c r="P43" s="156" t="str">
        <f t="shared" ref="P43:P46" si="131">IF(O43&gt;0,"▲",IF(O43&lt;0, "▼", " "))</f>
        <v> </v>
      </c>
      <c r="Q43" s="62">
        <f>VLOOKUP($A42,'Март_2025'!$A$100:$M$111,2,0)</f>
        <v>0.02570694087</v>
      </c>
      <c r="R43" s="63">
        <f>VLOOKUP($A42,'Март_2025'!$A$100:$M$111,3,0)</f>
        <v>83600</v>
      </c>
      <c r="S43" s="155">
        <f t="shared" ref="S43:S46" si="132">IFERROR(R43/K43-1,0)</f>
        <v>-0.04</v>
      </c>
      <c r="T43" s="153" t="str">
        <f t="shared" ref="T43:T46" si="133">IF(S43&gt;0,"▲",IF(S43&lt;0, "▼", " "))</f>
        <v>▼</v>
      </c>
      <c r="U43" s="63">
        <f>VLOOKUP($A42,'Март_2025'!$A$100:$M$111,4,0)</f>
        <v>26125</v>
      </c>
      <c r="V43" s="155">
        <f t="shared" ref="V43:V46" si="134">IFERROR(U43/N43-1,0)</f>
        <v>0</v>
      </c>
      <c r="W43" s="156" t="str">
        <f t="shared" ref="W43:W46" si="135">IF(V43&gt;0,"▲",IF(V43&lt;0, "▼", " "))</f>
        <v> </v>
      </c>
      <c r="X43" s="62">
        <f>VLOOKUP($A42,'Апрель_2025'!$A$100:$M$111,2,0)</f>
        <v>0.02570694087</v>
      </c>
      <c r="Y43" s="63">
        <f>VLOOKUP($A42,'Апрель_2025'!$A$100:$M$111,3,0)</f>
        <v>87083.33333</v>
      </c>
      <c r="Z43" s="155">
        <f t="shared" ref="Z43:Z46" si="136">IFERROR(Y43/R43-1,0)</f>
        <v>0.04166666667</v>
      </c>
      <c r="AA43" s="153" t="str">
        <f t="shared" ref="AA43:AA46" si="137">IF(Z43&gt;0,"▲",IF(Z43&lt;0, "▼", " "))</f>
        <v>▲</v>
      </c>
      <c r="AB43" s="63">
        <f>VLOOKUP($A42,'Апрель_2025'!$A$100:$M$111,4,0)</f>
        <v>26125</v>
      </c>
      <c r="AC43" s="155">
        <f t="shared" ref="AC43:AC46" si="138">IFERROR(AB43/U43-1,0)</f>
        <v>0</v>
      </c>
      <c r="AD43" s="156" t="str">
        <f t="shared" ref="AD43:AD46" si="139">IF(AC43&gt;0,"▲",IF(AC43&lt;0, "▼", " "))</f>
        <v> </v>
      </c>
      <c r="AE43" s="62">
        <f>VLOOKUP($A42,'Май_2025'!$A$100:$M$111,2,0)</f>
        <v>0.02570694087</v>
      </c>
      <c r="AF43" s="63">
        <f>VLOOKUP($A42,'Май_2025'!$A$100:$M$111,3,0)</f>
        <v>87083.33333</v>
      </c>
      <c r="AG43" s="155">
        <f t="shared" ref="AG43:AG46" si="140">IFERROR(AF43/Y43-1,0)</f>
        <v>0</v>
      </c>
      <c r="AH43" s="153" t="str">
        <f t="shared" ref="AH43:AH46" si="141">IF(AG43&gt;0,"▲",IF(AG43&lt;0, "▼", " "))</f>
        <v> </v>
      </c>
      <c r="AI43" s="63">
        <f>VLOOKUP($A42,'Май_2025'!$A$100:$M$111,4,0)</f>
        <v>26125</v>
      </c>
      <c r="AJ43" s="155">
        <f t="shared" ref="AJ43:AJ46" si="142">IFERROR(AI43/AB43-1,0)</f>
        <v>0</v>
      </c>
      <c r="AK43" s="156" t="str">
        <f t="shared" ref="AK43:AK46" si="143">IF(AJ43&gt;0,"▲",IF(AJ43&lt;0, "▼", " "))</f>
        <v> </v>
      </c>
      <c r="AL43" s="62">
        <f>VLOOKUP($A42,'Июнь_2025'!$A$100:$M$111,2,0)</f>
        <v>0.02570694087</v>
      </c>
      <c r="AM43" s="63">
        <f>VLOOKUP($A42,'Июнь_2025'!$A$100:$M$111,3,0)</f>
        <v>85714.28571</v>
      </c>
      <c r="AN43" s="155">
        <f t="shared" ref="AN43:AN46" si="144">IFERROR(AM43/AF43-1,0)</f>
        <v>-0.01572112098</v>
      </c>
      <c r="AO43" s="153" t="str">
        <f t="shared" ref="AO43:AO46" si="145">IF(AN43&gt;0,"▲",IF(AN43&lt;0, "▼", " "))</f>
        <v>▼</v>
      </c>
      <c r="AP43" s="63">
        <f>VLOOKUP($A42,'Июнь_2025'!$A$100:$M$111,4,0)</f>
        <v>22500</v>
      </c>
      <c r="AQ43" s="155">
        <f t="shared" ref="AQ43:AQ46" si="146">IFERROR(AP43/AI43-1,0)</f>
        <v>-0.1387559809</v>
      </c>
      <c r="AR43" s="156" t="str">
        <f t="shared" ref="AR43:AR46" si="147">IF(AQ43&gt;0,"▲",IF(AQ43&lt;0, "▼", " "))</f>
        <v>▼</v>
      </c>
    </row>
    <row r="44">
      <c r="A44" s="157" t="s">
        <v>9</v>
      </c>
      <c r="B44" s="69"/>
      <c r="C44" s="62">
        <f>VLOOKUP($A42,'Январь_2025'!$A$100:$M$111,5,0)</f>
        <v>0.08272058824</v>
      </c>
      <c r="D44" s="63">
        <f>VLOOKUP($A42,'Январь_2025'!$A$100:$M$111,6,0)</f>
        <v>480000</v>
      </c>
      <c r="E44" s="152"/>
      <c r="F44" s="153" t="str">
        <f t="shared" si="127"/>
        <v> </v>
      </c>
      <c r="G44" s="63">
        <f>VLOOKUP($A42,'Январь_2025'!$A$100:$M$111,7,0)</f>
        <v>10666.66667</v>
      </c>
      <c r="H44" s="94"/>
      <c r="I44" s="150"/>
      <c r="J44" s="62">
        <f>VLOOKUP($A42,'Февраль_2025'!$A$100:$M$111,5,0)</f>
        <v>0.08272058824</v>
      </c>
      <c r="K44" s="63">
        <f>VLOOKUP($A42,'Февраль_2025'!$A$100:$M$111,6,0)</f>
        <v>310000</v>
      </c>
      <c r="L44" s="155">
        <f t="shared" si="128"/>
        <v>-0.3541666667</v>
      </c>
      <c r="M44" s="153" t="str">
        <f t="shared" si="129"/>
        <v>▼</v>
      </c>
      <c r="N44" s="63">
        <f>VLOOKUP($A42,'Февраль_2025'!$A$100:$M$111,7,0)</f>
        <v>17222.22222</v>
      </c>
      <c r="O44" s="155">
        <f t="shared" si="130"/>
        <v>0.6145833333</v>
      </c>
      <c r="P44" s="156" t="str">
        <f t="shared" si="131"/>
        <v>▲</v>
      </c>
      <c r="Q44" s="62">
        <f>VLOOKUP($A42,'Март_2025'!$A$100:$M$111,5,0)</f>
        <v>0.08272058824</v>
      </c>
      <c r="R44" s="63">
        <f>VLOOKUP($A42,'Март_2025'!$A$100:$M$111,6,0)</f>
        <v>384000</v>
      </c>
      <c r="S44" s="155">
        <f t="shared" si="132"/>
        <v>0.2387096774</v>
      </c>
      <c r="T44" s="153" t="str">
        <f t="shared" si="133"/>
        <v>▲</v>
      </c>
      <c r="U44" s="63">
        <f>VLOOKUP($A42,'Март_2025'!$A$100:$M$111,7,0)</f>
        <v>10666.66667</v>
      </c>
      <c r="V44" s="155">
        <f t="shared" si="134"/>
        <v>-0.3806451613</v>
      </c>
      <c r="W44" s="156" t="str">
        <f t="shared" si="135"/>
        <v>▼</v>
      </c>
      <c r="X44" s="62">
        <f>VLOOKUP($A42,'Апрель_2025'!$A$100:$M$111,5,0)</f>
        <v>0.08272058824</v>
      </c>
      <c r="Y44" s="63">
        <f>VLOOKUP($A42,'Апрель_2025'!$A$100:$M$111,6,0)</f>
        <v>480000</v>
      </c>
      <c r="Z44" s="155">
        <f t="shared" si="136"/>
        <v>0.25</v>
      </c>
      <c r="AA44" s="153" t="str">
        <f t="shared" si="137"/>
        <v>▲</v>
      </c>
      <c r="AB44" s="63">
        <f>VLOOKUP($A42,'Апрель_2025'!$A$100:$M$111,7,0)</f>
        <v>10666.66667</v>
      </c>
      <c r="AC44" s="155">
        <f t="shared" si="138"/>
        <v>0</v>
      </c>
      <c r="AD44" s="156" t="str">
        <f t="shared" si="139"/>
        <v> </v>
      </c>
      <c r="AE44" s="62">
        <f>VLOOKUP($A42,'Май_2025'!$A$100:$M$111,5,0)</f>
        <v>0.08272058824</v>
      </c>
      <c r="AF44" s="63">
        <f>VLOOKUP($A42,'Май_2025'!$A$100:$M$111,6,0)</f>
        <v>425000</v>
      </c>
      <c r="AG44" s="155">
        <f t="shared" si="140"/>
        <v>-0.1145833333</v>
      </c>
      <c r="AH44" s="153" t="str">
        <f t="shared" si="141"/>
        <v>▼</v>
      </c>
      <c r="AI44" s="63">
        <f>VLOOKUP($A42,'Май_2025'!$A$100:$M$111,7,0)</f>
        <v>9444.444444</v>
      </c>
      <c r="AJ44" s="155">
        <f t="shared" si="142"/>
        <v>-0.1145833333</v>
      </c>
      <c r="AK44" s="156" t="str">
        <f t="shared" si="143"/>
        <v>▼</v>
      </c>
      <c r="AL44" s="62">
        <f>VLOOKUP($A42,'Июнь_2025'!$A$100:$M$111,5,0)</f>
        <v>0.08272058824</v>
      </c>
      <c r="AM44" s="63">
        <f>VLOOKUP($A42,'Июнь_2025'!$A$100:$M$111,6,0)</f>
        <v>350000</v>
      </c>
      <c r="AN44" s="155">
        <f t="shared" si="144"/>
        <v>-0.1764705882</v>
      </c>
      <c r="AO44" s="153" t="str">
        <f t="shared" si="145"/>
        <v>▼</v>
      </c>
      <c r="AP44" s="63">
        <f>VLOOKUP($A42,'Июнь_2025'!$A$100:$M$111,7,0)</f>
        <v>7777.777778</v>
      </c>
      <c r="AQ44" s="155">
        <f t="shared" si="146"/>
        <v>-0.1764705882</v>
      </c>
      <c r="AR44" s="156" t="str">
        <f t="shared" si="147"/>
        <v>▼</v>
      </c>
    </row>
    <row r="45">
      <c r="A45" s="157" t="s">
        <v>13</v>
      </c>
      <c r="B45" s="69"/>
      <c r="C45" s="62">
        <f>VLOOKUP($A42,'Январь_2025'!$A$100:$M$111,8,0)</f>
        <v>0.0539083558</v>
      </c>
      <c r="D45" s="63">
        <f>VLOOKUP($A42,'Январь_2025'!$A$100:$M$111,9,0)</f>
        <v>23800</v>
      </c>
      <c r="E45" s="152"/>
      <c r="F45" s="153" t="str">
        <f t="shared" si="127"/>
        <v> </v>
      </c>
      <c r="G45" s="63">
        <f>VLOOKUP($A42,'Январь_2025'!$A$100:$M$111,10,0)</f>
        <v>17850</v>
      </c>
      <c r="H45" s="94"/>
      <c r="I45" s="150"/>
      <c r="J45" s="62">
        <f>VLOOKUP($A42,'Февраль_2025'!$A$100:$M$111,8,0)</f>
        <v>0.0539083558</v>
      </c>
      <c r="K45" s="63">
        <f>VLOOKUP($A42,'Февраль_2025'!$A$100:$M$111,9,0)</f>
        <v>21714.28571</v>
      </c>
      <c r="L45" s="155">
        <f t="shared" si="128"/>
        <v>-0.08763505402</v>
      </c>
      <c r="M45" s="153" t="str">
        <f t="shared" si="129"/>
        <v>▼</v>
      </c>
      <c r="N45" s="63">
        <f>VLOOKUP($A42,'Февраль_2025'!$A$100:$M$111,10,0)</f>
        <v>15200</v>
      </c>
      <c r="O45" s="155">
        <f t="shared" si="130"/>
        <v>-0.1484593838</v>
      </c>
      <c r="P45" s="156" t="str">
        <f t="shared" si="131"/>
        <v>▼</v>
      </c>
      <c r="Q45" s="62">
        <f>VLOOKUP($A42,'Март_2025'!$A$100:$M$111,8,0)</f>
        <v>0.0539083558</v>
      </c>
      <c r="R45" s="63">
        <f>VLOOKUP($A42,'Март_2025'!$A$100:$M$111,9,0)</f>
        <v>25500</v>
      </c>
      <c r="S45" s="155">
        <f t="shared" si="132"/>
        <v>0.1743421053</v>
      </c>
      <c r="T45" s="153" t="str">
        <f t="shared" si="133"/>
        <v>▲</v>
      </c>
      <c r="U45" s="63">
        <f>VLOOKUP($A42,'Март_2025'!$A$100:$M$111,10,0)</f>
        <v>17850</v>
      </c>
      <c r="V45" s="155">
        <f t="shared" si="134"/>
        <v>0.1743421053</v>
      </c>
      <c r="W45" s="156" t="str">
        <f t="shared" si="135"/>
        <v>▲</v>
      </c>
      <c r="X45" s="62">
        <f>VLOOKUP($A42,'Апрель_2025'!$A$100:$M$111,8,0)</f>
        <v>0.0539083558</v>
      </c>
      <c r="Y45" s="63">
        <f>VLOOKUP($A42,'Апрель_2025'!$A$100:$M$111,9,0)</f>
        <v>29750</v>
      </c>
      <c r="Z45" s="155">
        <f t="shared" si="136"/>
        <v>0.1666666667</v>
      </c>
      <c r="AA45" s="153" t="str">
        <f t="shared" si="137"/>
        <v>▲</v>
      </c>
      <c r="AB45" s="63">
        <f>VLOOKUP($A42,'Апрель_2025'!$A$100:$M$111,10,0)</f>
        <v>17850</v>
      </c>
      <c r="AC45" s="155">
        <f t="shared" si="138"/>
        <v>0</v>
      </c>
      <c r="AD45" s="156" t="str">
        <f t="shared" si="139"/>
        <v> </v>
      </c>
      <c r="AE45" s="62">
        <f>VLOOKUP($A42,'Май_2025'!$A$100:$M$111,8,0)</f>
        <v>0.0539083558</v>
      </c>
      <c r="AF45" s="63">
        <f>VLOOKUP($A42,'Май_2025'!$A$100:$M$111,9,0)</f>
        <v>23800</v>
      </c>
      <c r="AG45" s="155">
        <f t="shared" si="140"/>
        <v>-0.2</v>
      </c>
      <c r="AH45" s="153" t="str">
        <f t="shared" si="141"/>
        <v>▼</v>
      </c>
      <c r="AI45" s="63">
        <f>VLOOKUP($A42,'Май_2025'!$A$100:$M$111,10,0)</f>
        <v>17850</v>
      </c>
      <c r="AJ45" s="155">
        <f t="shared" si="142"/>
        <v>0</v>
      </c>
      <c r="AK45" s="156" t="str">
        <f t="shared" si="143"/>
        <v> </v>
      </c>
      <c r="AL45" s="62">
        <f>VLOOKUP($A42,'Июнь_2025'!$A$100:$M$111,8,0)</f>
        <v>0.0539083558</v>
      </c>
      <c r="AM45" s="63">
        <f>VLOOKUP($A42,'Июнь_2025'!$A$100:$M$111,9,0)</f>
        <v>19565.21739</v>
      </c>
      <c r="AN45" s="155">
        <f t="shared" si="144"/>
        <v>-0.1779320424</v>
      </c>
      <c r="AO45" s="153" t="str">
        <f t="shared" si="145"/>
        <v>▼</v>
      </c>
      <c r="AP45" s="63">
        <f>VLOOKUP($A42,'Июнь_2025'!$A$100:$M$111,10,0)</f>
        <v>9000</v>
      </c>
      <c r="AQ45" s="155">
        <f t="shared" si="146"/>
        <v>-0.4957983193</v>
      </c>
      <c r="AR45" s="156" t="str">
        <f t="shared" si="147"/>
        <v>▼</v>
      </c>
    </row>
    <row r="46">
      <c r="A46" s="151" t="s">
        <v>19</v>
      </c>
      <c r="B46" s="69"/>
      <c r="C46" s="62">
        <f>VLOOKUP($A42,'Январь_2025'!$A$100:$M$111,11,0)</f>
        <v>0.01931330472</v>
      </c>
      <c r="D46" s="63">
        <f>VLOOKUP($A42,'Январь_2025'!$A$100:$M$111,12,0)</f>
        <v>24000</v>
      </c>
      <c r="E46" s="152"/>
      <c r="F46" s="153" t="str">
        <f t="shared" si="127"/>
        <v> </v>
      </c>
      <c r="G46" s="63">
        <f>VLOOKUP($A42,'Январь_2025'!$A$100:$M$111,13,0)</f>
        <v>37333.33333</v>
      </c>
      <c r="H46" s="94"/>
      <c r="I46" s="150"/>
      <c r="J46" s="62">
        <f>VLOOKUP($A42,'Февраль_2025'!$A$100:$M$111,11,0)</f>
        <v>0.01931330472</v>
      </c>
      <c r="K46" s="63">
        <f>VLOOKUP($A42,'Февраль_2025'!$A$100:$M$111,12,0)</f>
        <v>24000</v>
      </c>
      <c r="L46" s="155">
        <f t="shared" si="128"/>
        <v>0</v>
      </c>
      <c r="M46" s="153" t="str">
        <f t="shared" si="129"/>
        <v> </v>
      </c>
      <c r="N46" s="63">
        <f>VLOOKUP($A42,'Февраль_2025'!$A$100:$M$111,13,0)</f>
        <v>37333.33333</v>
      </c>
      <c r="O46" s="155">
        <f t="shared" si="130"/>
        <v>0</v>
      </c>
      <c r="P46" s="156" t="str">
        <f t="shared" si="131"/>
        <v> </v>
      </c>
      <c r="Q46" s="62">
        <f>VLOOKUP($A42,'Март_2025'!$A$100:$M$111,11,0)</f>
        <v>0.01931330472</v>
      </c>
      <c r="R46" s="63">
        <f>VLOOKUP($A42,'Март_2025'!$A$100:$M$111,12,0)</f>
        <v>25846.15385</v>
      </c>
      <c r="S46" s="155">
        <f t="shared" si="132"/>
        <v>0.07692307692</v>
      </c>
      <c r="T46" s="153" t="str">
        <f t="shared" si="133"/>
        <v>▲</v>
      </c>
      <c r="U46" s="63">
        <f>VLOOKUP($A42,'Март_2025'!$A$100:$M$111,13,0)</f>
        <v>37333.33333</v>
      </c>
      <c r="V46" s="155">
        <f t="shared" si="134"/>
        <v>0</v>
      </c>
      <c r="W46" s="156" t="str">
        <f t="shared" si="135"/>
        <v> </v>
      </c>
      <c r="X46" s="62">
        <f>VLOOKUP($A42,'Апрель_2025'!$A$100:$M$111,11,0)</f>
        <v>0.01931330472</v>
      </c>
      <c r="Y46" s="63">
        <f>VLOOKUP($A42,'Апрель_2025'!$A$100:$M$111,12,0)</f>
        <v>24000</v>
      </c>
      <c r="Z46" s="155">
        <f t="shared" si="136"/>
        <v>-0.07142857143</v>
      </c>
      <c r="AA46" s="153" t="str">
        <f t="shared" si="137"/>
        <v>▼</v>
      </c>
      <c r="AB46" s="63">
        <f>VLOOKUP($A42,'Апрель_2025'!$A$100:$M$111,13,0)</f>
        <v>37333.33333</v>
      </c>
      <c r="AC46" s="155">
        <f t="shared" si="138"/>
        <v>0</v>
      </c>
      <c r="AD46" s="156" t="str">
        <f t="shared" si="139"/>
        <v> </v>
      </c>
      <c r="AE46" s="62">
        <f>VLOOKUP($A42,'Май_2025'!$A$100:$M$111,11,0)</f>
        <v>0.01931330472</v>
      </c>
      <c r="AF46" s="63">
        <f>VLOOKUP($A42,'Май_2025'!$A$100:$M$111,12,0)</f>
        <v>24000</v>
      </c>
      <c r="AG46" s="155">
        <f t="shared" si="140"/>
        <v>0</v>
      </c>
      <c r="AH46" s="153" t="str">
        <f t="shared" si="141"/>
        <v> </v>
      </c>
      <c r="AI46" s="63">
        <f>VLOOKUP($A42,'Май_2025'!$A$100:$M$111,13,0)</f>
        <v>37333.33333</v>
      </c>
      <c r="AJ46" s="155">
        <f t="shared" si="142"/>
        <v>0</v>
      </c>
      <c r="AK46" s="156" t="str">
        <f t="shared" si="143"/>
        <v> </v>
      </c>
      <c r="AL46" s="62">
        <f>VLOOKUP($A42,'Июнь_2025'!$A$100:$M$111,11,0)</f>
        <v>0.01931330472</v>
      </c>
      <c r="AM46" s="63">
        <f>VLOOKUP($A42,'Июнь_2025'!$A$100:$M$111,12,0)</f>
        <v>30000</v>
      </c>
      <c r="AN46" s="155">
        <f t="shared" si="144"/>
        <v>0.25</v>
      </c>
      <c r="AO46" s="153" t="str">
        <f t="shared" si="145"/>
        <v>▲</v>
      </c>
      <c r="AP46" s="63">
        <f>VLOOKUP($A42,'Июнь_2025'!$A$100:$M$111,13,0)</f>
        <v>33333.33333</v>
      </c>
      <c r="AQ46" s="155">
        <f t="shared" si="146"/>
        <v>-0.1071428571</v>
      </c>
      <c r="AR46" s="156" t="str">
        <f t="shared" si="147"/>
        <v>▼</v>
      </c>
    </row>
    <row r="47">
      <c r="A47" s="158"/>
      <c r="B47" s="69"/>
      <c r="C47" s="62"/>
      <c r="D47" s="97"/>
      <c r="E47" s="94"/>
      <c r="F47" s="94"/>
      <c r="G47" s="94"/>
      <c r="H47" s="94"/>
      <c r="I47" s="150"/>
      <c r="J47" s="62"/>
      <c r="K47" s="97"/>
      <c r="L47" s="155"/>
      <c r="M47" s="153"/>
      <c r="N47" s="94"/>
      <c r="O47" s="155"/>
      <c r="P47" s="156"/>
      <c r="Q47" s="62"/>
      <c r="R47" s="97"/>
      <c r="S47" s="155"/>
      <c r="T47" s="153"/>
      <c r="U47" s="94"/>
      <c r="V47" s="155"/>
      <c r="W47" s="156"/>
      <c r="X47" s="62"/>
      <c r="Y47" s="97"/>
      <c r="Z47" s="155"/>
      <c r="AA47" s="153"/>
      <c r="AB47" s="94"/>
      <c r="AC47" s="155"/>
      <c r="AD47" s="156"/>
      <c r="AE47" s="62"/>
      <c r="AF47" s="97"/>
      <c r="AG47" s="155"/>
      <c r="AH47" s="153"/>
      <c r="AI47" s="94"/>
      <c r="AJ47" s="155"/>
      <c r="AK47" s="156"/>
      <c r="AL47" s="62"/>
      <c r="AM47" s="97"/>
      <c r="AN47" s="155"/>
      <c r="AO47" s="153"/>
      <c r="AP47" s="94"/>
      <c r="AQ47" s="155"/>
      <c r="AR47" s="156"/>
    </row>
    <row r="48">
      <c r="A48" s="149" t="s">
        <v>57</v>
      </c>
      <c r="B48" s="69"/>
      <c r="C48" s="62"/>
      <c r="D48" s="97"/>
      <c r="E48" s="94"/>
      <c r="F48" s="94"/>
      <c r="G48" s="94"/>
      <c r="H48" s="94"/>
      <c r="I48" s="150"/>
      <c r="J48" s="62"/>
      <c r="K48" s="97"/>
      <c r="L48" s="155"/>
      <c r="M48" s="153"/>
      <c r="N48" s="94"/>
      <c r="O48" s="155"/>
      <c r="P48" s="156"/>
      <c r="Q48" s="62"/>
      <c r="R48" s="97"/>
      <c r="S48" s="155"/>
      <c r="T48" s="153"/>
      <c r="U48" s="94"/>
      <c r="V48" s="155"/>
      <c r="W48" s="156"/>
      <c r="X48" s="62"/>
      <c r="Y48" s="97"/>
      <c r="Z48" s="155"/>
      <c r="AA48" s="153"/>
      <c r="AB48" s="94"/>
      <c r="AC48" s="155"/>
      <c r="AD48" s="156"/>
      <c r="AE48" s="62"/>
      <c r="AF48" s="97"/>
      <c r="AG48" s="155"/>
      <c r="AH48" s="153"/>
      <c r="AI48" s="94"/>
      <c r="AJ48" s="155"/>
      <c r="AK48" s="156"/>
      <c r="AL48" s="62"/>
      <c r="AM48" s="97"/>
      <c r="AN48" s="155"/>
      <c r="AO48" s="153"/>
      <c r="AP48" s="94"/>
      <c r="AQ48" s="155"/>
      <c r="AR48" s="156"/>
    </row>
    <row r="49">
      <c r="A49" s="151" t="s">
        <v>16</v>
      </c>
      <c r="B49" s="69"/>
      <c r="C49" s="62">
        <f>VLOOKUP($A48,'Январь_2025'!$A$100:$M$111,2,0)</f>
        <v>0.2538560411</v>
      </c>
      <c r="D49" s="63">
        <f>VLOOKUP($A48,'Январь_2025'!$A$100:$M$111,3,0)</f>
        <v>69763.77953</v>
      </c>
      <c r="E49" s="152"/>
      <c r="F49" s="153" t="str">
        <f t="shared" ref="F49:F52" si="148">IF(E49&gt;0,"▲",IF(E49&lt;0, "▼", " "))</f>
        <v> </v>
      </c>
      <c r="G49" s="63">
        <f>VLOOKUP($A48,'Январь_2025'!$A$100:$M$111,4,0)</f>
        <v>11215.18987</v>
      </c>
      <c r="H49" s="94"/>
      <c r="I49" s="150"/>
      <c r="J49" s="62">
        <f>VLOOKUP($A48,'Февраль_2025'!$A$100:$M$111,2,0)</f>
        <v>0.2538560411</v>
      </c>
      <c r="K49" s="63">
        <f>VLOOKUP($A48,'Февраль_2025'!$A$100:$M$111,3,0)</f>
        <v>73394.49541</v>
      </c>
      <c r="L49" s="155">
        <f t="shared" ref="L49:L52" si="149">IFERROR(K49/D49-1,0)</f>
        <v>0.05204299294</v>
      </c>
      <c r="M49" s="153" t="str">
        <f t="shared" ref="M49:M52" si="150">IF(L49&gt;0,"▲",IF(L49&lt;0, "▼", " "))</f>
        <v>▲</v>
      </c>
      <c r="N49" s="63">
        <f>VLOOKUP($A48,'Февраль_2025'!$A$100:$M$111,4,0)</f>
        <v>10126.58228</v>
      </c>
      <c r="O49" s="155">
        <f t="shared" ref="O49:O52" si="151">IFERROR(N49/G49-1,0)</f>
        <v>-0.09706546275</v>
      </c>
      <c r="P49" s="156" t="str">
        <f t="shared" ref="P49:P52" si="152">IF(O49&gt;0,"▲",IF(O49&lt;0, "▼", " "))</f>
        <v>▼</v>
      </c>
      <c r="Q49" s="62">
        <f>VLOOKUP($A48,'Март_2025'!$A$100:$M$111,2,0)</f>
        <v>0.2538560411</v>
      </c>
      <c r="R49" s="63">
        <f>VLOOKUP($A48,'Март_2025'!$A$100:$M$111,3,0)</f>
        <v>71200</v>
      </c>
      <c r="S49" s="155">
        <f t="shared" ref="S49:S52" si="153">IFERROR(R49/K49-1,0)</f>
        <v>-0.0299</v>
      </c>
      <c r="T49" s="153" t="str">
        <f t="shared" ref="T49:T52" si="154">IF(S49&gt;0,"▲",IF(S49&lt;0, "▼", " "))</f>
        <v>▼</v>
      </c>
      <c r="U49" s="63">
        <f>VLOOKUP($A48,'Март_2025'!$A$100:$M$111,4,0)</f>
        <v>11265.82278</v>
      </c>
      <c r="V49" s="155">
        <f t="shared" ref="V49:V52" si="155">IFERROR(U49/N49-1,0)</f>
        <v>0.1125</v>
      </c>
      <c r="W49" s="156" t="str">
        <f t="shared" ref="W49:W52" si="156">IF(V49&gt;0,"▲",IF(V49&lt;0, "▼", " "))</f>
        <v>▲</v>
      </c>
      <c r="X49" s="62">
        <f>VLOOKUP($A48,'Апрель_2025'!$A$100:$M$111,2,0)</f>
        <v>0.2538560411</v>
      </c>
      <c r="Y49" s="63">
        <f>VLOOKUP($A48,'Апрель_2025'!$A$100:$M$111,3,0)</f>
        <v>69763.77953</v>
      </c>
      <c r="Z49" s="155">
        <f t="shared" ref="Z49:Z52" si="157">IFERROR(Y49/R49-1,0)</f>
        <v>-0.02017163585</v>
      </c>
      <c r="AA49" s="153" t="str">
        <f t="shared" ref="AA49:AA52" si="158">IF(Z49&gt;0,"▲",IF(Z49&lt;0, "▼", " "))</f>
        <v>▼</v>
      </c>
      <c r="AB49" s="63">
        <f>VLOOKUP($A48,'Апрель_2025'!$A$100:$M$111,4,0)</f>
        <v>11215.18987</v>
      </c>
      <c r="AC49" s="155">
        <f t="shared" ref="AC49:AC52" si="159">IFERROR(AB49/U49-1,0)</f>
        <v>-0.004494382022</v>
      </c>
      <c r="AD49" s="156" t="str">
        <f t="shared" ref="AD49:AD52" si="160">IF(AC49&gt;0,"▲",IF(AC49&lt;0, "▼", " "))</f>
        <v>▼</v>
      </c>
      <c r="AE49" s="62">
        <f>VLOOKUP($A48,'Май_2025'!$A$100:$M$111,2,0)</f>
        <v>0.2538560411</v>
      </c>
      <c r="AF49" s="63">
        <f>VLOOKUP($A48,'Май_2025'!$A$100:$M$111,3,0)</f>
        <v>69763.77953</v>
      </c>
      <c r="AG49" s="155">
        <f t="shared" ref="AG49:AG52" si="161">IFERROR(AF49/Y49-1,0)</f>
        <v>0</v>
      </c>
      <c r="AH49" s="153" t="str">
        <f t="shared" ref="AH49:AH52" si="162">IF(AG49&gt;0,"▲",IF(AG49&lt;0, "▼", " "))</f>
        <v> </v>
      </c>
      <c r="AI49" s="63">
        <f>VLOOKUP($A48,'Май_2025'!$A$100:$M$111,4,0)</f>
        <v>11215.18987</v>
      </c>
      <c r="AJ49" s="155">
        <f t="shared" ref="AJ49:AJ52" si="163">IFERROR(AI49/AB49-1,0)</f>
        <v>0</v>
      </c>
      <c r="AK49" s="156" t="str">
        <f t="shared" ref="AK49:AK52" si="164">IF(AJ49&gt;0,"▲",IF(AJ49&lt;0, "▼", " "))</f>
        <v> </v>
      </c>
      <c r="AL49" s="62">
        <f>VLOOKUP($A48,'Июнь_2025'!$A$100:$M$111,2,0)</f>
        <v>0.2538560411</v>
      </c>
      <c r="AM49" s="63">
        <f>VLOOKUP($A48,'Июнь_2025'!$A$100:$M$111,3,0)</f>
        <v>69763.77953</v>
      </c>
      <c r="AN49" s="155">
        <f t="shared" ref="AN49:AN52" si="165">IFERROR(AM49/AF49-1,0)</f>
        <v>0</v>
      </c>
      <c r="AO49" s="153" t="str">
        <f t="shared" ref="AO49:AO52" si="166">IF(AN49&gt;0,"▲",IF(AN49&lt;0, "▼", " "))</f>
        <v> </v>
      </c>
      <c r="AP49" s="63">
        <f>VLOOKUP($A48,'Июнь_2025'!$A$100:$M$111,4,0)</f>
        <v>11215.18987</v>
      </c>
      <c r="AQ49" s="155">
        <f t="shared" ref="AQ49:AQ52" si="167">IFERROR(AP49/AI49-1,0)</f>
        <v>0</v>
      </c>
      <c r="AR49" s="156" t="str">
        <f t="shared" ref="AR49:AR52" si="168">IF(AQ49&gt;0,"▲",IF(AQ49&lt;0, "▼", " "))</f>
        <v> </v>
      </c>
    </row>
    <row r="50">
      <c r="A50" s="157" t="s">
        <v>9</v>
      </c>
      <c r="B50" s="69"/>
      <c r="C50" s="62">
        <f>VLOOKUP($A48,'Январь_2025'!$A$100:$M$111,5,0)</f>
        <v>0</v>
      </c>
      <c r="D50" s="63" t="str">
        <f>VLOOKUP($A48,'Январь_2025'!$A$100:$M$111,6,0)</f>
        <v>нет категории</v>
      </c>
      <c r="E50" s="152"/>
      <c r="F50" s="153" t="str">
        <f t="shared" si="148"/>
        <v> </v>
      </c>
      <c r="G50" s="63" t="str">
        <f>VLOOKUP($A48,'Январь_2025'!$A$100:$M$111,7,0)</f>
        <v>нет категории</v>
      </c>
      <c r="H50" s="94"/>
      <c r="I50" s="150"/>
      <c r="J50" s="62">
        <f>VLOOKUP($A48,'Февраль_2025'!$A$100:$M$111,5,0)</f>
        <v>0</v>
      </c>
      <c r="K50" s="63" t="str">
        <f>VLOOKUP($A48,'Февраль_2025'!$A$100:$M$111,6,0)</f>
        <v>нет категории</v>
      </c>
      <c r="L50" s="155">
        <f t="shared" si="149"/>
        <v>0</v>
      </c>
      <c r="M50" s="153" t="str">
        <f t="shared" si="150"/>
        <v> </v>
      </c>
      <c r="N50" s="63" t="str">
        <f>VLOOKUP($A48,'Февраль_2025'!$A$100:$M$111,7,0)</f>
        <v>нет категории</v>
      </c>
      <c r="O50" s="155">
        <f t="shared" si="151"/>
        <v>0</v>
      </c>
      <c r="P50" s="156" t="str">
        <f t="shared" si="152"/>
        <v> </v>
      </c>
      <c r="Q50" s="62">
        <f>VLOOKUP($A48,'Март_2025'!$A$100:$M$111,5,0)</f>
        <v>0</v>
      </c>
      <c r="R50" s="63" t="str">
        <f>VLOOKUP($A48,'Март_2025'!$A$100:$M$111,6,0)</f>
        <v>нет категории</v>
      </c>
      <c r="S50" s="155">
        <f t="shared" si="153"/>
        <v>0</v>
      </c>
      <c r="T50" s="153" t="str">
        <f t="shared" si="154"/>
        <v> </v>
      </c>
      <c r="U50" s="63" t="str">
        <f>VLOOKUP($A48,'Март_2025'!$A$100:$M$111,7,0)</f>
        <v>нет категории</v>
      </c>
      <c r="V50" s="155">
        <f t="shared" si="155"/>
        <v>0</v>
      </c>
      <c r="W50" s="156" t="str">
        <f t="shared" si="156"/>
        <v> </v>
      </c>
      <c r="X50" s="62">
        <f>VLOOKUP($A48,'Апрель_2025'!$A$100:$M$111,5,0)</f>
        <v>0</v>
      </c>
      <c r="Y50" s="63" t="str">
        <f>VLOOKUP($A48,'Апрель_2025'!$A$100:$M$111,6,0)</f>
        <v>нет категории</v>
      </c>
      <c r="Z50" s="155">
        <f t="shared" si="157"/>
        <v>0</v>
      </c>
      <c r="AA50" s="153" t="str">
        <f t="shared" si="158"/>
        <v> </v>
      </c>
      <c r="AB50" s="63" t="str">
        <f>VLOOKUP($A48,'Апрель_2025'!$A$100:$M$111,7,0)</f>
        <v>нет категории</v>
      </c>
      <c r="AC50" s="155">
        <f t="shared" si="159"/>
        <v>0</v>
      </c>
      <c r="AD50" s="156" t="str">
        <f t="shared" si="160"/>
        <v> </v>
      </c>
      <c r="AE50" s="62">
        <f>VLOOKUP($A48,'Май_2025'!$A$100:$M$111,5,0)</f>
        <v>0</v>
      </c>
      <c r="AF50" s="63" t="str">
        <f>VLOOKUP($A48,'Май_2025'!$A$100:$M$111,6,0)</f>
        <v>нет категории</v>
      </c>
      <c r="AG50" s="155">
        <f t="shared" si="161"/>
        <v>0</v>
      </c>
      <c r="AH50" s="153" t="str">
        <f t="shared" si="162"/>
        <v> </v>
      </c>
      <c r="AI50" s="63" t="str">
        <f>VLOOKUP($A48,'Май_2025'!$A$100:$M$111,7,0)</f>
        <v>нет категории</v>
      </c>
      <c r="AJ50" s="155">
        <f t="shared" si="163"/>
        <v>0</v>
      </c>
      <c r="AK50" s="156" t="str">
        <f t="shared" si="164"/>
        <v> </v>
      </c>
      <c r="AL50" s="62">
        <f>VLOOKUP($A48,'Июнь_2025'!$A$100:$M$111,5,0)</f>
        <v>0</v>
      </c>
      <c r="AM50" s="63" t="str">
        <f>VLOOKUP($A48,'Июнь_2025'!$A$100:$M$111,6,0)</f>
        <v>нет категории</v>
      </c>
      <c r="AN50" s="155">
        <f t="shared" si="165"/>
        <v>0</v>
      </c>
      <c r="AO50" s="153" t="str">
        <f t="shared" si="166"/>
        <v> </v>
      </c>
      <c r="AP50" s="63" t="str">
        <f>VLOOKUP($A48,'Июнь_2025'!$A$100:$M$111,7,0)</f>
        <v>нет категории</v>
      </c>
      <c r="AQ50" s="155">
        <f t="shared" si="167"/>
        <v>0</v>
      </c>
      <c r="AR50" s="156" t="str">
        <f t="shared" si="168"/>
        <v> </v>
      </c>
    </row>
    <row r="51">
      <c r="A51" s="157" t="s">
        <v>13</v>
      </c>
      <c r="B51" s="69"/>
      <c r="C51" s="62">
        <f>VLOOKUP($A48,'Январь_2025'!$A$100:$M$111,8,0)</f>
        <v>0</v>
      </c>
      <c r="D51" s="63" t="str">
        <f>VLOOKUP($A48,'Январь_2025'!$A$100:$M$111,9,0)</f>
        <v>нет категории</v>
      </c>
      <c r="E51" s="152"/>
      <c r="F51" s="153" t="str">
        <f t="shared" si="148"/>
        <v> </v>
      </c>
      <c r="G51" s="63" t="str">
        <f>VLOOKUP($A48,'Январь_2025'!$A$100:$M$111,10,0)</f>
        <v>нет категории</v>
      </c>
      <c r="H51" s="94"/>
      <c r="I51" s="150"/>
      <c r="J51" s="62">
        <f>VLOOKUP($A48,'Февраль_2025'!$A$100:$M$111,8,0)</f>
        <v>0</v>
      </c>
      <c r="K51" s="63" t="str">
        <f>VLOOKUP($A48,'Февраль_2025'!$A$100:$M$111,9,0)</f>
        <v>нет категории</v>
      </c>
      <c r="L51" s="155">
        <f t="shared" si="149"/>
        <v>0</v>
      </c>
      <c r="M51" s="153" t="str">
        <f t="shared" si="150"/>
        <v> </v>
      </c>
      <c r="N51" s="63" t="str">
        <f>VLOOKUP($A48,'Февраль_2025'!$A$100:$M$111,10,0)</f>
        <v>нет категории</v>
      </c>
      <c r="O51" s="155">
        <f t="shared" si="151"/>
        <v>0</v>
      </c>
      <c r="P51" s="156" t="str">
        <f t="shared" si="152"/>
        <v> </v>
      </c>
      <c r="Q51" s="62">
        <f>VLOOKUP($A48,'Март_2025'!$A$100:$M$111,8,0)</f>
        <v>0</v>
      </c>
      <c r="R51" s="63" t="str">
        <f>VLOOKUP($A48,'Март_2025'!$A$100:$M$111,9,0)</f>
        <v>нет категории</v>
      </c>
      <c r="S51" s="155">
        <f t="shared" si="153"/>
        <v>0</v>
      </c>
      <c r="T51" s="153" t="str">
        <f t="shared" si="154"/>
        <v> </v>
      </c>
      <c r="U51" s="63" t="str">
        <f>VLOOKUP($A48,'Март_2025'!$A$100:$M$111,10,0)</f>
        <v>нет категории</v>
      </c>
      <c r="V51" s="155">
        <f t="shared" si="155"/>
        <v>0</v>
      </c>
      <c r="W51" s="156" t="str">
        <f t="shared" si="156"/>
        <v> </v>
      </c>
      <c r="X51" s="62">
        <f>VLOOKUP($A48,'Апрель_2025'!$A$100:$M$111,8,0)</f>
        <v>0</v>
      </c>
      <c r="Y51" s="63" t="str">
        <f>VLOOKUP($A48,'Апрель_2025'!$A$100:$M$111,9,0)</f>
        <v>нет категории</v>
      </c>
      <c r="Z51" s="155">
        <f t="shared" si="157"/>
        <v>0</v>
      </c>
      <c r="AA51" s="153" t="str">
        <f t="shared" si="158"/>
        <v> </v>
      </c>
      <c r="AB51" s="63" t="str">
        <f>VLOOKUP($A48,'Апрель_2025'!$A$100:$M$111,10,0)</f>
        <v>нет категории</v>
      </c>
      <c r="AC51" s="155">
        <f t="shared" si="159"/>
        <v>0</v>
      </c>
      <c r="AD51" s="156" t="str">
        <f t="shared" si="160"/>
        <v> </v>
      </c>
      <c r="AE51" s="62">
        <f>VLOOKUP($A48,'Май_2025'!$A$100:$M$111,8,0)</f>
        <v>0</v>
      </c>
      <c r="AF51" s="63" t="str">
        <f>VLOOKUP($A48,'Май_2025'!$A$100:$M$111,9,0)</f>
        <v>нет категории</v>
      </c>
      <c r="AG51" s="155">
        <f t="shared" si="161"/>
        <v>0</v>
      </c>
      <c r="AH51" s="153" t="str">
        <f t="shared" si="162"/>
        <v> </v>
      </c>
      <c r="AI51" s="63" t="str">
        <f>VLOOKUP($A48,'Май_2025'!$A$100:$M$111,10,0)</f>
        <v>нет категории</v>
      </c>
      <c r="AJ51" s="155">
        <f t="shared" si="163"/>
        <v>0</v>
      </c>
      <c r="AK51" s="156" t="str">
        <f t="shared" si="164"/>
        <v> </v>
      </c>
      <c r="AL51" s="62">
        <f>VLOOKUP($A48,'Июнь_2025'!$A$100:$M$111,8,0)</f>
        <v>0</v>
      </c>
      <c r="AM51" s="63" t="str">
        <f>VLOOKUP($A48,'Июнь_2025'!$A$100:$M$111,9,0)</f>
        <v>нет категории</v>
      </c>
      <c r="AN51" s="155">
        <f t="shared" si="165"/>
        <v>0</v>
      </c>
      <c r="AO51" s="153" t="str">
        <f t="shared" si="166"/>
        <v> </v>
      </c>
      <c r="AP51" s="63" t="str">
        <f>VLOOKUP($A48,'Июнь_2025'!$A$100:$M$111,10,0)</f>
        <v>нет категории</v>
      </c>
      <c r="AQ51" s="155">
        <f t="shared" si="167"/>
        <v>0</v>
      </c>
      <c r="AR51" s="156" t="str">
        <f t="shared" si="168"/>
        <v> </v>
      </c>
    </row>
    <row r="52">
      <c r="A52" s="151" t="s">
        <v>19</v>
      </c>
      <c r="B52" s="69"/>
      <c r="C52" s="62">
        <f>VLOOKUP($A48,'Январь_2025'!$A$100:$M$111,11,0)</f>
        <v>0.05879828326</v>
      </c>
      <c r="D52" s="63">
        <f>VLOOKUP($A48,'Январь_2025'!$A$100:$M$111,12,0)</f>
        <v>34521.73913</v>
      </c>
      <c r="E52" s="152"/>
      <c r="F52" s="153" t="str">
        <f t="shared" si="148"/>
        <v> </v>
      </c>
      <c r="G52" s="63">
        <f>VLOOKUP($A48,'Январь_2025'!$A$100:$M$111,13,0)</f>
        <v>5795.620438</v>
      </c>
      <c r="H52" s="94"/>
      <c r="I52" s="150"/>
      <c r="J52" s="62">
        <f>VLOOKUP($A48,'Февраль_2025'!$A$100:$M$111,11,0)</f>
        <v>0.05879828326</v>
      </c>
      <c r="K52" s="63">
        <f>VLOOKUP($A48,'Февраль_2025'!$A$100:$M$111,12,0)</f>
        <v>35760</v>
      </c>
      <c r="L52" s="155">
        <f t="shared" si="149"/>
        <v>0.03586901763</v>
      </c>
      <c r="M52" s="153" t="str">
        <f t="shared" si="150"/>
        <v>▲</v>
      </c>
      <c r="N52" s="63">
        <f>VLOOKUP($A48,'Февраль_2025'!$A$100:$M$111,13,0)</f>
        <v>6525.547445</v>
      </c>
      <c r="O52" s="155">
        <f t="shared" si="151"/>
        <v>0.1259445844</v>
      </c>
      <c r="P52" s="156" t="str">
        <f t="shared" si="152"/>
        <v>▲</v>
      </c>
      <c r="Q52" s="62">
        <f>VLOOKUP($A48,'Март_2025'!$A$100:$M$111,11,0)</f>
        <v>0.05879828326</v>
      </c>
      <c r="R52" s="63">
        <f>VLOOKUP($A48,'Март_2025'!$A$100:$M$111,12,0)</f>
        <v>36625</v>
      </c>
      <c r="S52" s="155">
        <f t="shared" si="153"/>
        <v>0.02418903803</v>
      </c>
      <c r="T52" s="153" t="str">
        <f t="shared" si="154"/>
        <v>▲</v>
      </c>
      <c r="U52" s="63">
        <f>VLOOKUP($A48,'Март_2025'!$A$100:$M$111,13,0)</f>
        <v>6416.058394</v>
      </c>
      <c r="V52" s="155">
        <f t="shared" si="155"/>
        <v>-0.01677852349</v>
      </c>
      <c r="W52" s="156" t="str">
        <f t="shared" si="156"/>
        <v>▼</v>
      </c>
      <c r="X52" s="62">
        <f>VLOOKUP($A48,'Апрель_2025'!$A$100:$M$111,11,0)</f>
        <v>0.05879828326</v>
      </c>
      <c r="Y52" s="63">
        <f>VLOOKUP($A48,'Апрель_2025'!$A$100:$M$111,12,0)</f>
        <v>34521.73913</v>
      </c>
      <c r="Z52" s="155">
        <f t="shared" si="157"/>
        <v>-0.05742691794</v>
      </c>
      <c r="AA52" s="153" t="str">
        <f t="shared" si="158"/>
        <v>▼</v>
      </c>
      <c r="AB52" s="63">
        <f>VLOOKUP($A48,'Апрель_2025'!$A$100:$M$111,13,0)</f>
        <v>5795.620438</v>
      </c>
      <c r="AC52" s="155">
        <f t="shared" si="159"/>
        <v>-0.09670079636</v>
      </c>
      <c r="AD52" s="156" t="str">
        <f t="shared" si="160"/>
        <v>▼</v>
      </c>
      <c r="AE52" s="62">
        <f>VLOOKUP($A48,'Май_2025'!$A$100:$M$111,11,0)</f>
        <v>0.05879828326</v>
      </c>
      <c r="AF52" s="63">
        <f>VLOOKUP($A48,'Май_2025'!$A$100:$M$111,12,0)</f>
        <v>34521.73913</v>
      </c>
      <c r="AG52" s="155">
        <f t="shared" si="161"/>
        <v>0</v>
      </c>
      <c r="AH52" s="153" t="str">
        <f t="shared" si="162"/>
        <v> </v>
      </c>
      <c r="AI52" s="63">
        <f>VLOOKUP($A48,'Май_2025'!$A$100:$M$111,13,0)</f>
        <v>5795.620438</v>
      </c>
      <c r="AJ52" s="155">
        <f t="shared" si="163"/>
        <v>0</v>
      </c>
      <c r="AK52" s="156" t="str">
        <f t="shared" si="164"/>
        <v> </v>
      </c>
      <c r="AL52" s="62">
        <f>VLOOKUP($A48,'Июнь_2025'!$A$100:$M$111,11,0)</f>
        <v>0.05879828326</v>
      </c>
      <c r="AM52" s="63">
        <f>VLOOKUP($A48,'Июнь_2025'!$A$100:$M$111,12,0)</f>
        <v>34521.73913</v>
      </c>
      <c r="AN52" s="155">
        <f t="shared" si="165"/>
        <v>0</v>
      </c>
      <c r="AO52" s="153" t="str">
        <f t="shared" si="166"/>
        <v> </v>
      </c>
      <c r="AP52" s="63">
        <f>VLOOKUP($A48,'Июнь_2025'!$A$100:$M$111,13,0)</f>
        <v>5795.620438</v>
      </c>
      <c r="AQ52" s="155">
        <f t="shared" si="167"/>
        <v>0</v>
      </c>
      <c r="AR52" s="156" t="str">
        <f t="shared" si="168"/>
        <v> </v>
      </c>
    </row>
    <row r="53">
      <c r="A53" s="158"/>
      <c r="B53" s="69"/>
      <c r="C53" s="62"/>
      <c r="D53" s="97"/>
      <c r="E53" s="94"/>
      <c r="F53" s="153"/>
      <c r="G53" s="94"/>
      <c r="H53" s="94"/>
      <c r="I53" s="150"/>
      <c r="J53" s="62"/>
      <c r="K53" s="97"/>
      <c r="L53" s="155"/>
      <c r="M53" s="153"/>
      <c r="N53" s="94"/>
      <c r="O53" s="155"/>
      <c r="P53" s="156"/>
      <c r="Q53" s="62"/>
      <c r="R53" s="97"/>
      <c r="S53" s="155"/>
      <c r="T53" s="153"/>
      <c r="U53" s="94"/>
      <c r="V53" s="155"/>
      <c r="W53" s="156"/>
      <c r="X53" s="62"/>
      <c r="Y53" s="97"/>
      <c r="Z53" s="155"/>
      <c r="AA53" s="153"/>
      <c r="AB53" s="94"/>
      <c r="AC53" s="155"/>
      <c r="AD53" s="156"/>
      <c r="AE53" s="62"/>
      <c r="AF53" s="97"/>
      <c r="AG53" s="155"/>
      <c r="AH53" s="153"/>
      <c r="AI53" s="94"/>
      <c r="AJ53" s="155"/>
      <c r="AK53" s="156"/>
      <c r="AL53" s="62"/>
      <c r="AM53" s="97"/>
      <c r="AN53" s="155"/>
      <c r="AO53" s="153"/>
      <c r="AP53" s="94"/>
      <c r="AQ53" s="155"/>
      <c r="AR53" s="156"/>
    </row>
    <row r="54">
      <c r="A54" s="149" t="s">
        <v>158</v>
      </c>
      <c r="B54" s="69"/>
      <c r="C54" s="62"/>
      <c r="D54" s="97"/>
      <c r="E54" s="94"/>
      <c r="F54" s="94"/>
      <c r="G54" s="94"/>
      <c r="H54" s="94"/>
      <c r="I54" s="150"/>
      <c r="J54" s="62"/>
      <c r="K54" s="97"/>
      <c r="L54" s="155"/>
      <c r="M54" s="153"/>
      <c r="N54" s="94"/>
      <c r="O54" s="155"/>
      <c r="P54" s="156"/>
      <c r="Q54" s="62"/>
      <c r="R54" s="97"/>
      <c r="S54" s="155"/>
      <c r="T54" s="153"/>
      <c r="U54" s="94"/>
      <c r="V54" s="155"/>
      <c r="W54" s="156"/>
      <c r="X54" s="62"/>
      <c r="Y54" s="97"/>
      <c r="Z54" s="155"/>
      <c r="AA54" s="153"/>
      <c r="AB54" s="94"/>
      <c r="AC54" s="155"/>
      <c r="AD54" s="156"/>
      <c r="AE54" s="62"/>
      <c r="AF54" s="97"/>
      <c r="AG54" s="155"/>
      <c r="AH54" s="153"/>
      <c r="AI54" s="94"/>
      <c r="AJ54" s="155"/>
      <c r="AK54" s="156"/>
      <c r="AL54" s="62"/>
      <c r="AM54" s="97"/>
      <c r="AN54" s="155"/>
      <c r="AO54" s="153"/>
      <c r="AP54" s="94"/>
      <c r="AQ54" s="155"/>
      <c r="AR54" s="156"/>
    </row>
    <row r="55" ht="16.5" customHeight="1">
      <c r="A55" s="151" t="s">
        <v>16</v>
      </c>
      <c r="B55" s="69"/>
      <c r="C55" s="62">
        <f>VLOOKUP($A54,'Январь_2025'!$A$100:$M$111,2,0)</f>
        <v>0.02892030848</v>
      </c>
      <c r="D55" s="63">
        <f>VLOOKUP($A54,'Январь_2025'!$A$100:$M$111,3,0)</f>
        <v>9000</v>
      </c>
      <c r="E55" s="152"/>
      <c r="F55" s="153" t="str">
        <f t="shared" ref="F55:F58" si="169">IF(E55&gt;0,"▲",IF(E55&lt;0, "▼", " "))</f>
        <v> </v>
      </c>
      <c r="G55" s="63">
        <f>VLOOKUP($A54,'Январь_2025'!$A$100:$M$111,4,0)</f>
        <v>2000</v>
      </c>
      <c r="H55" s="94"/>
      <c r="I55" s="150"/>
      <c r="J55" s="62">
        <f>VLOOKUP($A54,'Февраль_2025'!$A$100:$M$111,2,0)</f>
        <v>0.02892030848</v>
      </c>
      <c r="K55" s="63">
        <f>VLOOKUP($A54,'Февраль_2025'!$A$100:$M$111,3,0)</f>
        <v>8809.52381</v>
      </c>
      <c r="L55" s="155">
        <f>IFERROR(K55/D55-1,0)</f>
        <v>-0.02116402116</v>
      </c>
      <c r="M55" s="153" t="str">
        <f t="shared" ref="M55:M58" si="170">IF(L55&gt;0,"▲",IF(L55&lt;0, "▼", " "))</f>
        <v>▼</v>
      </c>
      <c r="N55" s="63">
        <f>VLOOKUP($A54,'Февраль_2025'!$A$100:$M$111,4,0)</f>
        <v>2055.555556</v>
      </c>
      <c r="O55" s="155">
        <f t="shared" ref="O55:O58" si="171">IFERROR(N55/G55-1,0)</f>
        <v>0.02777777778</v>
      </c>
      <c r="P55" s="156" t="str">
        <f t="shared" ref="P55:P58" si="172">IF(O55&gt;0,"▲",IF(O55&lt;0, "▼", " "))</f>
        <v>▲</v>
      </c>
      <c r="Q55" s="62">
        <f>VLOOKUP($A54,'Март_2025'!$A$100:$M$111,2,0)</f>
        <v>0.02892030848</v>
      </c>
      <c r="R55" s="63">
        <f>VLOOKUP($A54,'Март_2025'!$A$100:$M$111,3,0)</f>
        <v>9130.434783</v>
      </c>
      <c r="S55" s="155">
        <f t="shared" ref="S55:S58" si="173">IFERROR(R55/K55-1,0)</f>
        <v>0.03642773208</v>
      </c>
      <c r="T55" s="153" t="str">
        <f t="shared" ref="T55:T58" si="174">IF(S55&gt;0,"▲",IF(S55&lt;0, "▼", " "))</f>
        <v>▲</v>
      </c>
      <c r="U55" s="63">
        <f>VLOOKUP($A54,'Март_2025'!$A$100:$M$111,4,0)</f>
        <v>2333.333333</v>
      </c>
      <c r="V55" s="155">
        <f t="shared" ref="V55:V58" si="175">IFERROR(U55/N55-1,0)</f>
        <v>0.1351351351</v>
      </c>
      <c r="W55" s="156" t="str">
        <f t="shared" ref="W55:W58" si="176">IF(V55&gt;0,"▲",IF(V55&lt;0, "▼", " "))</f>
        <v>▲</v>
      </c>
      <c r="X55" s="62">
        <f>VLOOKUP($A54,'Апрель_2025'!$A$100:$M$111,2,0)</f>
        <v>0.02892030848</v>
      </c>
      <c r="Y55" s="63">
        <f>VLOOKUP($A54,'Апрель_2025'!$A$100:$M$111,3,0)</f>
        <v>12000</v>
      </c>
      <c r="Z55" s="155">
        <f t="shared" ref="Z55:Z58" si="177">IFERROR(Y55/R55-1,0)</f>
        <v>0.3142857143</v>
      </c>
      <c r="AA55" s="153" t="str">
        <f t="shared" ref="AA55:AA58" si="178">IF(Z55&gt;0,"▲",IF(Z55&lt;0, "▼", " "))</f>
        <v>▲</v>
      </c>
      <c r="AB55" s="63">
        <f>VLOOKUP($A54,'Апрель_2025'!$A$100:$M$111,4,0)</f>
        <v>3333.333333</v>
      </c>
      <c r="AC55" s="155">
        <f t="shared" ref="AC55:AC58" si="179">IFERROR(AB55/U55-1,0)</f>
        <v>0.4285714286</v>
      </c>
      <c r="AD55" s="156" t="str">
        <f t="shared" ref="AD55:AD58" si="180">IF(AC55&gt;0,"▲",IF(AC55&lt;0, "▼", " "))</f>
        <v>▲</v>
      </c>
      <c r="AE55" s="62">
        <f>VLOOKUP($A54,'Май_2025'!$A$100:$M$111,2,0)</f>
        <v>0.02892030848</v>
      </c>
      <c r="AF55" s="63">
        <f>VLOOKUP($A54,'Май_2025'!$A$100:$M$111,3,0)</f>
        <v>9000</v>
      </c>
      <c r="AG55" s="155">
        <f t="shared" ref="AG55:AG58" si="181">IFERROR(AF55/Y55-1,0)</f>
        <v>-0.25</v>
      </c>
      <c r="AH55" s="153" t="str">
        <f t="shared" ref="AH55:AH58" si="182">IF(AG55&gt;0,"▲",IF(AG55&lt;0, "▼", " "))</f>
        <v>▼</v>
      </c>
      <c r="AI55" s="63">
        <f>VLOOKUP($A54,'Май_2025'!$A$100:$M$111,4,0)</f>
        <v>4000</v>
      </c>
      <c r="AJ55" s="155">
        <f t="shared" ref="AJ55:AJ58" si="183">IFERROR(AI55/AB55-1,0)</f>
        <v>0.2</v>
      </c>
      <c r="AK55" s="156" t="str">
        <f t="shared" ref="AK55:AK58" si="184">IF(AJ55&gt;0,"▲",IF(AJ55&lt;0, "▼", " "))</f>
        <v>▲</v>
      </c>
      <c r="AL55" s="62">
        <f>VLOOKUP($A54,'Июнь_2025'!$A$100:$M$111,2,0)</f>
        <v>0.02892030848</v>
      </c>
      <c r="AM55" s="63">
        <f>VLOOKUP($A54,'Июнь_2025'!$A$100:$M$111,3,0)</f>
        <v>11250</v>
      </c>
      <c r="AN55" s="155">
        <f t="shared" ref="AN55:AN58" si="185">IFERROR(AM55/AF55-1,0)</f>
        <v>0.25</v>
      </c>
      <c r="AO55" s="153" t="str">
        <f t="shared" ref="AO55:AO58" si="186">IF(AN55&gt;0,"▲",IF(AN55&lt;0, "▼", " "))</f>
        <v>▲</v>
      </c>
      <c r="AP55" s="63">
        <f>VLOOKUP($A54,'Июнь_2025'!$A$100:$M$111,4,0)</f>
        <v>5000</v>
      </c>
      <c r="AQ55" s="155">
        <f t="shared" ref="AQ55:AQ58" si="187">IFERROR(AP55/AI55-1,0)</f>
        <v>0.25</v>
      </c>
      <c r="AR55" s="156" t="str">
        <f t="shared" ref="AR55:AR58" si="188">IF(AQ55&gt;0,"▲",IF(AQ55&lt;0, "▼", " "))</f>
        <v>▲</v>
      </c>
    </row>
    <row r="56" ht="16.5" customHeight="1">
      <c r="A56" s="157" t="s">
        <v>9</v>
      </c>
      <c r="B56" s="69"/>
      <c r="C56" s="62">
        <f>VLOOKUP($A54,'Январь_2025'!$A$100:$M$111,5,0)</f>
        <v>0.03676470588</v>
      </c>
      <c r="D56" s="63">
        <f>VLOOKUP($A54,'Январь_2025'!$A$100:$M$111,6,0)</f>
        <v>16000</v>
      </c>
      <c r="E56" s="152"/>
      <c r="F56" s="153" t="str">
        <f t="shared" si="169"/>
        <v> </v>
      </c>
      <c r="G56" s="63">
        <f>VLOOKUP($A54,'Январь_2025'!$A$100:$M$111,7,0)</f>
        <v>1000</v>
      </c>
      <c r="H56" s="94"/>
      <c r="I56" s="150"/>
      <c r="J56" s="62">
        <f>VLOOKUP($A54,'Февраль_2025'!$A$100:$M$111,5,0)</f>
        <v>0.03676470588</v>
      </c>
      <c r="K56" s="63">
        <f>VLOOKUP($A54,'Февраль_2025'!$A$100:$M$111,6,0)</f>
        <v>14166.66667</v>
      </c>
      <c r="L56" s="155">
        <f t="shared" ref="L56:L58" si="189">K56/D56-1</f>
        <v>-0.1145833333</v>
      </c>
      <c r="M56" s="153" t="str">
        <f t="shared" si="170"/>
        <v>▼</v>
      </c>
      <c r="N56" s="63">
        <f>VLOOKUP($A54,'Февраль_2025'!$A$100:$M$111,7,0)</f>
        <v>1062.5</v>
      </c>
      <c r="O56" s="155">
        <f t="shared" si="171"/>
        <v>0.0625</v>
      </c>
      <c r="P56" s="156" t="str">
        <f t="shared" si="172"/>
        <v>▲</v>
      </c>
      <c r="Q56" s="62">
        <f>VLOOKUP($A54,'Март_2025'!$A$100:$M$111,5,0)</f>
        <v>0.03676470588</v>
      </c>
      <c r="R56" s="63">
        <f>VLOOKUP($A54,'Март_2025'!$A$100:$M$111,6,0)</f>
        <v>11111.11111</v>
      </c>
      <c r="S56" s="155">
        <f t="shared" si="173"/>
        <v>-0.2156862745</v>
      </c>
      <c r="T56" s="153" t="str">
        <f t="shared" si="174"/>
        <v>▼</v>
      </c>
      <c r="U56" s="63">
        <f>VLOOKUP($A54,'Март_2025'!$A$100:$M$111,7,0)</f>
        <v>1250</v>
      </c>
      <c r="V56" s="155">
        <f t="shared" si="175"/>
        <v>0.1764705882</v>
      </c>
      <c r="W56" s="156" t="str">
        <f t="shared" si="176"/>
        <v>▲</v>
      </c>
      <c r="X56" s="62">
        <f>VLOOKUP($A54,'Апрель_2025'!$A$100:$M$111,5,0)</f>
        <v>0.03676470588</v>
      </c>
      <c r="Y56" s="63">
        <f>VLOOKUP($A54,'Апрель_2025'!$A$100:$M$111,6,0)</f>
        <v>11904.7619</v>
      </c>
      <c r="Z56" s="155">
        <f t="shared" si="177"/>
        <v>0.07142857143</v>
      </c>
      <c r="AA56" s="153" t="str">
        <f t="shared" si="178"/>
        <v>▲</v>
      </c>
      <c r="AB56" s="63">
        <f>VLOOKUP($A54,'Апрель_2025'!$A$100:$M$111,7,0)</f>
        <v>3125</v>
      </c>
      <c r="AC56" s="155">
        <f t="shared" si="179"/>
        <v>1.5</v>
      </c>
      <c r="AD56" s="156" t="str">
        <f t="shared" si="180"/>
        <v>▲</v>
      </c>
      <c r="AE56" s="62">
        <f>VLOOKUP($A54,'Май_2025'!$A$100:$M$111,5,0)</f>
        <v>0.03676470588</v>
      </c>
      <c r="AF56" s="63">
        <f>VLOOKUP($A54,'Май_2025'!$A$100:$M$111,6,0)</f>
        <v>8628.571429</v>
      </c>
      <c r="AG56" s="155">
        <f t="shared" si="181"/>
        <v>-0.2752</v>
      </c>
      <c r="AH56" s="153" t="str">
        <f t="shared" si="182"/>
        <v>▼</v>
      </c>
      <c r="AI56" s="63">
        <f>VLOOKUP($A54,'Май_2025'!$A$100:$M$111,7,0)</f>
        <v>3775</v>
      </c>
      <c r="AJ56" s="155">
        <f t="shared" si="183"/>
        <v>0.208</v>
      </c>
      <c r="AK56" s="156" t="str">
        <f t="shared" si="184"/>
        <v>▲</v>
      </c>
      <c r="AL56" s="62">
        <f>VLOOKUP($A54,'Июнь_2025'!$A$100:$M$111,5,0)</f>
        <v>0.03676470588</v>
      </c>
      <c r="AM56" s="63">
        <f>VLOOKUP($A54,'Июнь_2025'!$A$100:$M$111,6,0)</f>
        <v>13658.53659</v>
      </c>
      <c r="AN56" s="155">
        <f t="shared" si="185"/>
        <v>0.5829429817</v>
      </c>
      <c r="AO56" s="153" t="str">
        <f t="shared" si="186"/>
        <v>▲</v>
      </c>
      <c r="AP56" s="63">
        <f>VLOOKUP($A54,'Июнь_2025'!$A$100:$M$111,7,0)</f>
        <v>7000</v>
      </c>
      <c r="AQ56" s="155">
        <f t="shared" si="187"/>
        <v>0.8543046358</v>
      </c>
      <c r="AR56" s="156" t="str">
        <f t="shared" si="188"/>
        <v>▲</v>
      </c>
    </row>
    <row r="57" ht="16.5" customHeight="1">
      <c r="A57" s="157" t="s">
        <v>13</v>
      </c>
      <c r="B57" s="69"/>
      <c r="C57" s="62">
        <f>VLOOKUP($A54,'Январь_2025'!$A$100:$M$111,8,0)</f>
        <v>0.03773584906</v>
      </c>
      <c r="D57" s="63">
        <f>VLOOKUP($A54,'Январь_2025'!$A$100:$M$111,9,0)</f>
        <v>11000</v>
      </c>
      <c r="E57" s="152"/>
      <c r="F57" s="153" t="str">
        <f t="shared" si="169"/>
        <v> </v>
      </c>
      <c r="G57" s="63">
        <f>VLOOKUP($A54,'Январь_2025'!$A$100:$M$111,10,0)</f>
        <v>1571.428571</v>
      </c>
      <c r="H57" s="94"/>
      <c r="I57" s="150"/>
      <c r="J57" s="62">
        <f>VLOOKUP($A54,'Февраль_2025'!$A$100:$M$111,8,0)</f>
        <v>0.03773584906</v>
      </c>
      <c r="K57" s="63">
        <f>VLOOKUP($A54,'Февраль_2025'!$A$100:$M$111,9,0)</f>
        <v>10454.54545</v>
      </c>
      <c r="L57" s="155">
        <f t="shared" si="189"/>
        <v>-0.04958677686</v>
      </c>
      <c r="M57" s="153" t="str">
        <f t="shared" si="170"/>
        <v>▼</v>
      </c>
      <c r="N57" s="63">
        <f>VLOOKUP($A54,'Февраль_2025'!$A$100:$M$111,10,0)</f>
        <v>1642.857143</v>
      </c>
      <c r="O57" s="155">
        <f t="shared" si="171"/>
        <v>0.04545454545</v>
      </c>
      <c r="P57" s="156" t="str">
        <f t="shared" si="172"/>
        <v>▲</v>
      </c>
      <c r="Q57" s="62">
        <f>VLOOKUP($A54,'Март_2025'!$A$100:$M$111,8,0)</f>
        <v>0.03773584906</v>
      </c>
      <c r="R57" s="63">
        <f>VLOOKUP($A54,'Март_2025'!$A$100:$M$111,9,0)</f>
        <v>8571.428571</v>
      </c>
      <c r="S57" s="155">
        <f t="shared" si="173"/>
        <v>-0.1801242236</v>
      </c>
      <c r="T57" s="153" t="str">
        <f t="shared" si="174"/>
        <v>▼</v>
      </c>
      <c r="U57" s="63">
        <f>VLOOKUP($A54,'Март_2025'!$A$100:$M$111,10,0)</f>
        <v>1714.285714</v>
      </c>
      <c r="V57" s="155">
        <f t="shared" si="175"/>
        <v>0.04347826087</v>
      </c>
      <c r="W57" s="156" t="str">
        <f t="shared" si="176"/>
        <v>▲</v>
      </c>
      <c r="X57" s="62">
        <f>VLOOKUP($A54,'Апрель_2025'!$A$100:$M$111,8,0)</f>
        <v>0.03773584906</v>
      </c>
      <c r="Y57" s="63">
        <f>VLOOKUP($A54,'Апрель_2025'!$A$100:$M$111,9,0)</f>
        <v>8478.26087</v>
      </c>
      <c r="Z57" s="155">
        <f t="shared" si="177"/>
        <v>-0.01086956522</v>
      </c>
      <c r="AA57" s="153" t="str">
        <f t="shared" si="178"/>
        <v>▼</v>
      </c>
      <c r="AB57" s="63">
        <f>VLOOKUP($A54,'Апрель_2025'!$A$100:$M$111,10,0)</f>
        <v>2785.714286</v>
      </c>
      <c r="AC57" s="155">
        <f t="shared" si="179"/>
        <v>0.625</v>
      </c>
      <c r="AD57" s="156" t="str">
        <f t="shared" si="180"/>
        <v>▲</v>
      </c>
      <c r="AE57" s="62">
        <f>VLOOKUP($A54,'Май_2025'!$A$100:$M$111,8,0)</f>
        <v>0.03773584906</v>
      </c>
      <c r="AF57" s="63">
        <f>VLOOKUP($A54,'Май_2025'!$A$100:$M$111,9,0)</f>
        <v>7000</v>
      </c>
      <c r="AG57" s="155">
        <f t="shared" si="181"/>
        <v>-0.1743589744</v>
      </c>
      <c r="AH57" s="153" t="str">
        <f t="shared" si="182"/>
        <v>▼</v>
      </c>
      <c r="AI57" s="63">
        <f>VLOOKUP($A54,'Май_2025'!$A$100:$M$111,10,0)</f>
        <v>3000</v>
      </c>
      <c r="AJ57" s="155">
        <f t="shared" si="183"/>
        <v>0.07692307692</v>
      </c>
      <c r="AK57" s="156" t="str">
        <f t="shared" si="184"/>
        <v>▲</v>
      </c>
      <c r="AL57" s="62">
        <f>VLOOKUP($A54,'Июнь_2025'!$A$100:$M$111,8,0)</f>
        <v>0.03773584906</v>
      </c>
      <c r="AM57" s="63">
        <f>VLOOKUP($A54,'Июнь_2025'!$A$100:$M$111,9,0)</f>
        <v>10285.71429</v>
      </c>
      <c r="AN57" s="155">
        <f t="shared" si="185"/>
        <v>0.4693877551</v>
      </c>
      <c r="AO57" s="153" t="str">
        <f t="shared" si="186"/>
        <v>▲</v>
      </c>
      <c r="AP57" s="63">
        <f>VLOOKUP($A54,'Июнь_2025'!$A$100:$M$111,10,0)</f>
        <v>5142.857143</v>
      </c>
      <c r="AQ57" s="155">
        <f t="shared" si="187"/>
        <v>0.7142857143</v>
      </c>
      <c r="AR57" s="156" t="str">
        <f t="shared" si="188"/>
        <v>▲</v>
      </c>
    </row>
    <row r="58" ht="16.5" customHeight="1">
      <c r="A58" s="151" t="s">
        <v>19</v>
      </c>
      <c r="B58" s="69"/>
      <c r="C58" s="62">
        <f>VLOOKUP($A54,'Январь_2025'!$A$100:$M$111,11,0)</f>
        <v>0.02575107296</v>
      </c>
      <c r="D58" s="63">
        <f>VLOOKUP($A54,'Январь_2025'!$A$100:$M$111,12,0)</f>
        <v>22500</v>
      </c>
      <c r="E58" s="152"/>
      <c r="F58" s="153" t="str">
        <f t="shared" si="169"/>
        <v> </v>
      </c>
      <c r="G58" s="63">
        <f>VLOOKUP($A54,'Январь_2025'!$A$100:$M$111,13,0)</f>
        <v>750</v>
      </c>
      <c r="H58" s="94"/>
      <c r="I58" s="150"/>
      <c r="J58" s="62">
        <f>VLOOKUP($A54,'Февраль_2025'!$A$100:$M$111,11,0)</f>
        <v>0.02575107296</v>
      </c>
      <c r="K58" s="63">
        <f>VLOOKUP($A54,'Февраль_2025'!$A$100:$M$111,12,0)</f>
        <v>27500</v>
      </c>
      <c r="L58" s="155">
        <f t="shared" si="189"/>
        <v>0.2222222222</v>
      </c>
      <c r="M58" s="153" t="str">
        <f t="shared" si="170"/>
        <v>▲</v>
      </c>
      <c r="N58" s="63">
        <f>VLOOKUP($A54,'Февраль_2025'!$A$100:$M$111,13,0)</f>
        <v>916.6666667</v>
      </c>
      <c r="O58" s="155">
        <f t="shared" si="171"/>
        <v>0.2222222222</v>
      </c>
      <c r="P58" s="156" t="str">
        <f t="shared" si="172"/>
        <v>▲</v>
      </c>
      <c r="Q58" s="62">
        <f>VLOOKUP($A54,'Март_2025'!$A$100:$M$111,11,0)</f>
        <v>0.02575107296</v>
      </c>
      <c r="R58" s="63">
        <f>VLOOKUP($A54,'Март_2025'!$A$100:$M$111,12,0)</f>
        <v>28750</v>
      </c>
      <c r="S58" s="155">
        <f t="shared" si="173"/>
        <v>0.04545454545</v>
      </c>
      <c r="T58" s="153" t="str">
        <f t="shared" si="174"/>
        <v>▲</v>
      </c>
      <c r="U58" s="63">
        <f>VLOOKUP($A54,'Март_2025'!$A$100:$M$111,13,0)</f>
        <v>1916.666667</v>
      </c>
      <c r="V58" s="155">
        <f t="shared" si="175"/>
        <v>1.090909091</v>
      </c>
      <c r="W58" s="156" t="str">
        <f t="shared" si="176"/>
        <v>▲</v>
      </c>
      <c r="X58" s="62">
        <f>VLOOKUP($A54,'Апрель_2025'!$A$100:$M$111,11,0)</f>
        <v>0.02575107296</v>
      </c>
      <c r="Y58" s="63">
        <f>VLOOKUP($A54,'Апрель_2025'!$A$100:$M$111,12,0)</f>
        <v>20000</v>
      </c>
      <c r="Z58" s="155">
        <f t="shared" si="177"/>
        <v>-0.3043478261</v>
      </c>
      <c r="AA58" s="153" t="str">
        <f t="shared" si="178"/>
        <v>▼</v>
      </c>
      <c r="AB58" s="63">
        <f>VLOOKUP($A54,'Апрель_2025'!$A$100:$M$111,13,0)</f>
        <v>3333.333333</v>
      </c>
      <c r="AC58" s="155">
        <f t="shared" si="179"/>
        <v>0.7391304348</v>
      </c>
      <c r="AD58" s="156" t="str">
        <f t="shared" si="180"/>
        <v>▲</v>
      </c>
      <c r="AE58" s="62">
        <f>VLOOKUP($A54,'Май_2025'!$A$100:$M$111,11,0)</f>
        <v>0.02575107296</v>
      </c>
      <c r="AF58" s="63">
        <f>VLOOKUP($A54,'Май_2025'!$A$100:$M$111,12,0)</f>
        <v>6000</v>
      </c>
      <c r="AG58" s="155">
        <f t="shared" si="181"/>
        <v>-0.7</v>
      </c>
      <c r="AH58" s="153" t="str">
        <f t="shared" si="182"/>
        <v>▼</v>
      </c>
      <c r="AI58" s="63">
        <f>VLOOKUP($A54,'Май_2025'!$A$100:$M$111,13,0)</f>
        <v>2500</v>
      </c>
      <c r="AJ58" s="155">
        <f t="shared" si="183"/>
        <v>-0.25</v>
      </c>
      <c r="AK58" s="156" t="str">
        <f t="shared" si="184"/>
        <v>▼</v>
      </c>
      <c r="AL58" s="62">
        <f>VLOOKUP($A54,'Июнь_2025'!$A$100:$M$111,11,0)</f>
        <v>0.1802575107</v>
      </c>
      <c r="AM58" s="63">
        <f>VLOOKUP($A54,'Июнь_2025'!$A$100:$M$111,12,0)</f>
        <v>7767.44186</v>
      </c>
      <c r="AN58" s="155">
        <f t="shared" si="185"/>
        <v>0.2945736434</v>
      </c>
      <c r="AO58" s="153" t="str">
        <f t="shared" si="186"/>
        <v>▲</v>
      </c>
      <c r="AP58" s="63">
        <f>VLOOKUP($A54,'Июнь_2025'!$A$100:$M$111,13,0)</f>
        <v>3976.190476</v>
      </c>
      <c r="AQ58" s="155">
        <f t="shared" si="187"/>
        <v>0.5904761905</v>
      </c>
      <c r="AR58" s="156" t="str">
        <f t="shared" si="188"/>
        <v>▲</v>
      </c>
    </row>
    <row r="59" ht="16.5" customHeight="1">
      <c r="A59" s="158"/>
      <c r="B59" s="69"/>
      <c r="C59" s="62"/>
      <c r="D59" s="97"/>
      <c r="E59" s="94"/>
      <c r="F59" s="94"/>
      <c r="G59" s="94"/>
      <c r="H59" s="94"/>
      <c r="I59" s="150"/>
      <c r="J59" s="62"/>
      <c r="K59" s="97"/>
      <c r="L59" s="155"/>
      <c r="M59" s="153"/>
      <c r="N59" s="94"/>
      <c r="O59" s="155"/>
      <c r="P59" s="156"/>
      <c r="Q59" s="62"/>
      <c r="R59" s="97"/>
      <c r="S59" s="155"/>
      <c r="T59" s="153"/>
      <c r="U59" s="94"/>
      <c r="V59" s="155"/>
      <c r="W59" s="156"/>
      <c r="X59" s="62"/>
      <c r="Y59" s="97"/>
      <c r="Z59" s="155"/>
      <c r="AA59" s="153"/>
      <c r="AB59" s="94"/>
      <c r="AC59" s="155"/>
      <c r="AD59" s="156"/>
      <c r="AE59" s="62"/>
      <c r="AF59" s="97"/>
      <c r="AG59" s="155"/>
      <c r="AH59" s="153"/>
      <c r="AI59" s="94"/>
      <c r="AJ59" s="155"/>
      <c r="AK59" s="156"/>
      <c r="AL59" s="62"/>
      <c r="AM59" s="97"/>
      <c r="AN59" s="155"/>
      <c r="AO59" s="153"/>
      <c r="AP59" s="94"/>
      <c r="AQ59" s="155"/>
      <c r="AR59" s="156"/>
    </row>
    <row r="60" ht="16.5" customHeight="1">
      <c r="A60" s="149" t="s">
        <v>12</v>
      </c>
      <c r="B60" s="69"/>
      <c r="C60" s="62"/>
      <c r="D60" s="97"/>
      <c r="E60" s="94"/>
      <c r="F60" s="94"/>
      <c r="G60" s="94"/>
      <c r="H60" s="94"/>
      <c r="I60" s="150"/>
      <c r="J60" s="62"/>
      <c r="K60" s="97"/>
      <c r="L60" s="155"/>
      <c r="M60" s="153"/>
      <c r="N60" s="94"/>
      <c r="O60" s="155"/>
      <c r="P60" s="156"/>
      <c r="Q60" s="62"/>
      <c r="R60" s="97"/>
      <c r="S60" s="155"/>
      <c r="T60" s="153"/>
      <c r="U60" s="94"/>
      <c r="V60" s="155"/>
      <c r="W60" s="156"/>
      <c r="X60" s="62"/>
      <c r="Y60" s="97"/>
      <c r="Z60" s="155"/>
      <c r="AA60" s="153"/>
      <c r="AB60" s="94"/>
      <c r="AC60" s="155"/>
      <c r="AD60" s="156"/>
      <c r="AE60" s="62"/>
      <c r="AF60" s="97"/>
      <c r="AG60" s="155"/>
      <c r="AH60" s="153"/>
      <c r="AI60" s="94"/>
      <c r="AJ60" s="155"/>
      <c r="AK60" s="156"/>
      <c r="AL60" s="62"/>
      <c r="AM60" s="97"/>
      <c r="AN60" s="155"/>
      <c r="AO60" s="153"/>
      <c r="AP60" s="94"/>
      <c r="AQ60" s="155"/>
      <c r="AR60" s="156"/>
    </row>
    <row r="61">
      <c r="A61" s="151" t="s">
        <v>16</v>
      </c>
      <c r="B61" s="69"/>
      <c r="C61" s="62">
        <f>VLOOKUP($A60,'Январь_2025'!$A$100:$M$111,2,0)</f>
        <v>0.04820051414</v>
      </c>
      <c r="D61" s="63">
        <f>VLOOKUP($A60,'Январь_2025'!$A$100:$M$111,3,0)</f>
        <v>15548.78049</v>
      </c>
      <c r="E61" s="152"/>
      <c r="F61" s="153" t="str">
        <f t="shared" ref="F61:F64" si="190">IF(E61&gt;0,"▲",IF(E61&lt;0, "▼", " "))</f>
        <v> </v>
      </c>
      <c r="G61" s="63">
        <f>VLOOKUP($A60,'Январь_2025'!$A$100:$M$111,4,0)</f>
        <v>8500</v>
      </c>
      <c r="H61" s="94"/>
      <c r="I61" s="150"/>
      <c r="J61" s="62">
        <f>VLOOKUP($A60,'Февраль_2025'!$A$100:$M$111,2,0)</f>
        <v>0.04820051414</v>
      </c>
      <c r="K61" s="63">
        <f>VLOOKUP($A60,'Февраль_2025'!$A$100:$M$111,3,0)</f>
        <v>18214.28571</v>
      </c>
      <c r="L61" s="155">
        <f>IFERROR(K61/D61-1,0)</f>
        <v>0.1714285714</v>
      </c>
      <c r="M61" s="153" t="str">
        <f t="shared" ref="M61:M64" si="191">IF(L61&gt;0,"▲",IF(L61&lt;0, "▼", " "))</f>
        <v>▲</v>
      </c>
      <c r="N61" s="63">
        <f>VLOOKUP($A60,'Февраль_2025'!$A$100:$M$111,4,0)</f>
        <v>8500</v>
      </c>
      <c r="O61" s="155">
        <f t="shared" ref="O61:O64" si="192">IFERROR(N61/G61-1,0)</f>
        <v>0</v>
      </c>
      <c r="P61" s="156" t="str">
        <f t="shared" ref="P61:P64" si="193">IF(O61&gt;0,"▲",IF(O61&lt;0, "▼", " "))</f>
        <v> </v>
      </c>
      <c r="Q61" s="62">
        <f>VLOOKUP($A60,'Март_2025'!$A$100:$M$111,2,0)</f>
        <v>0.04820051414</v>
      </c>
      <c r="R61" s="63">
        <f>VLOOKUP($A60,'Март_2025'!$A$100:$M$111,3,0)</f>
        <v>15937.5</v>
      </c>
      <c r="S61" s="155">
        <f t="shared" ref="S61:S64" si="194">IFERROR(R61/K61-1,0)</f>
        <v>-0.125</v>
      </c>
      <c r="T61" s="153" t="str">
        <f t="shared" ref="T61:T64" si="195">IF(S61&gt;0,"▲",IF(S61&lt;0, "▼", " "))</f>
        <v>▼</v>
      </c>
      <c r="U61" s="63">
        <f>VLOOKUP($A60,'Март_2025'!$A$100:$M$111,4,0)</f>
        <v>8500</v>
      </c>
      <c r="V61" s="155">
        <f t="shared" ref="V61:V64" si="196">IFERROR(U61/N61-1,0)</f>
        <v>0</v>
      </c>
      <c r="W61" s="156" t="str">
        <f t="shared" ref="W61:W64" si="197">IF(V61&gt;0,"▲",IF(V61&lt;0, "▼", " "))</f>
        <v> </v>
      </c>
      <c r="X61" s="62">
        <f>VLOOKUP($A60,'Апрель_2025'!$A$100:$M$111,2,0)</f>
        <v>0.04820051414</v>
      </c>
      <c r="Y61" s="63">
        <f>VLOOKUP($A60,'Апрель_2025'!$A$100:$M$111,3,0)</f>
        <v>15937.5</v>
      </c>
      <c r="Z61" s="155">
        <f t="shared" ref="Z61:Z64" si="198">IFERROR(Y61/R61-1,0)</f>
        <v>0</v>
      </c>
      <c r="AA61" s="153" t="str">
        <f t="shared" ref="AA61:AA64" si="199">IF(Z61&gt;0,"▲",IF(Z61&lt;0, "▼", " "))</f>
        <v> </v>
      </c>
      <c r="AB61" s="63">
        <f>VLOOKUP($A60,'Апрель_2025'!$A$100:$M$111,4,0)</f>
        <v>8500</v>
      </c>
      <c r="AC61" s="155">
        <f t="shared" ref="AC61:AC64" si="200">IFERROR(AB61/U61-1,0)</f>
        <v>0</v>
      </c>
      <c r="AD61" s="156" t="str">
        <f t="shared" ref="AD61:AD64" si="201">IF(AC61&gt;0,"▲",IF(AC61&lt;0, "▼", " "))</f>
        <v> </v>
      </c>
      <c r="AE61" s="62">
        <f>VLOOKUP($A60,'Май_2025'!$A$100:$M$111,2,0)</f>
        <v>0.04820051414</v>
      </c>
      <c r="AF61" s="63">
        <f>VLOOKUP($A60,'Май_2025'!$A$100:$M$111,3,0)</f>
        <v>15000</v>
      </c>
      <c r="AG61" s="155">
        <f t="shared" ref="AG61:AG64" si="202">IFERROR(AF61/Y61-1,0)</f>
        <v>-0.05882352941</v>
      </c>
      <c r="AH61" s="153" t="str">
        <f t="shared" ref="AH61:AH64" si="203">IF(AG61&gt;0,"▲",IF(AG61&lt;0, "▼", " "))</f>
        <v>▼</v>
      </c>
      <c r="AI61" s="63">
        <f>VLOOKUP($A60,'Май_2025'!$A$100:$M$111,4,0)</f>
        <v>8500</v>
      </c>
      <c r="AJ61" s="155">
        <f t="shared" ref="AJ61:AJ64" si="204">IFERROR(AI61/AB61-1,0)</f>
        <v>0</v>
      </c>
      <c r="AK61" s="156" t="str">
        <f t="shared" ref="AK61:AK64" si="205">IF(AJ61&gt;0,"▲",IF(AJ61&lt;0, "▼", " "))</f>
        <v> </v>
      </c>
      <c r="AL61" s="62">
        <f>VLOOKUP($A60,'Июнь_2025'!$A$100:$M$111,2,0)</f>
        <v>0.04820051414</v>
      </c>
      <c r="AM61" s="63">
        <f>VLOOKUP($A60,'Июнь_2025'!$A$100:$M$111,3,0)</f>
        <v>15882.35294</v>
      </c>
      <c r="AN61" s="155">
        <f t="shared" ref="AN61:AN64" si="206">IFERROR(AM61/AF61-1,0)</f>
        <v>0.05882352941</v>
      </c>
      <c r="AO61" s="153" t="str">
        <f t="shared" ref="AO61:AO64" si="207">IF(AN61&gt;0,"▲",IF(AN61&lt;0, "▼", " "))</f>
        <v>▲</v>
      </c>
      <c r="AP61" s="63">
        <f>VLOOKUP($A60,'Июнь_2025'!$A$100:$M$111,4,0)</f>
        <v>9000</v>
      </c>
      <c r="AQ61" s="155">
        <f t="shared" ref="AQ61:AQ64" si="208">IFERROR(AP61/AI61-1,0)</f>
        <v>0.05882352941</v>
      </c>
      <c r="AR61" s="156" t="str">
        <f t="shared" ref="AR61:AR64" si="209">IF(AQ61&gt;0,"▲",IF(AQ61&lt;0, "▼", " "))</f>
        <v>▲</v>
      </c>
    </row>
    <row r="62">
      <c r="A62" s="157" t="s">
        <v>9</v>
      </c>
      <c r="B62" s="69"/>
      <c r="C62" s="62">
        <f>VLOOKUP($A60,'Январь_2025'!$A$100:$M$111,5,0)</f>
        <v>0.06433823529</v>
      </c>
      <c r="D62" s="63">
        <f>VLOOKUP($A60,'Январь_2025'!$A$100:$M$111,6,0)</f>
        <v>15202.7027</v>
      </c>
      <c r="E62" s="152"/>
      <c r="F62" s="153" t="str">
        <f t="shared" si="190"/>
        <v> </v>
      </c>
      <c r="G62" s="63">
        <f>VLOOKUP($A60,'Январь_2025'!$A$100:$M$111,7,0)</f>
        <v>8035.714286</v>
      </c>
      <c r="H62" s="94"/>
      <c r="I62" s="150"/>
      <c r="J62" s="62">
        <f>VLOOKUP($A60,'Февраль_2025'!$A$100:$M$111,5,0)</f>
        <v>0.06433823529</v>
      </c>
      <c r="K62" s="63">
        <f>VLOOKUP($A60,'Февраль_2025'!$A$100:$M$111,6,0)</f>
        <v>14347.82609</v>
      </c>
      <c r="L62" s="155">
        <f t="shared" ref="L62:L64" si="210">K62/D62-1</f>
        <v>-0.05623188406</v>
      </c>
      <c r="M62" s="153" t="str">
        <f t="shared" si="191"/>
        <v>▼</v>
      </c>
      <c r="N62" s="63">
        <f>VLOOKUP($A60,'Февраль_2025'!$A$100:$M$111,7,0)</f>
        <v>7071.428571</v>
      </c>
      <c r="O62" s="155">
        <f t="shared" si="192"/>
        <v>-0.12</v>
      </c>
      <c r="P62" s="156" t="str">
        <f t="shared" si="193"/>
        <v>▼</v>
      </c>
      <c r="Q62" s="62">
        <f>VLOOKUP($A60,'Март_2025'!$A$100:$M$111,5,0)</f>
        <v>0.06433823529</v>
      </c>
      <c r="R62" s="63">
        <f>VLOOKUP($A60,'Март_2025'!$A$100:$M$111,6,0)</f>
        <v>15845.07042</v>
      </c>
      <c r="S62" s="155">
        <f t="shared" si="194"/>
        <v>0.1043533931</v>
      </c>
      <c r="T62" s="153" t="str">
        <f t="shared" si="195"/>
        <v>▲</v>
      </c>
      <c r="U62" s="63">
        <f>VLOOKUP($A60,'Март_2025'!$A$100:$M$111,7,0)</f>
        <v>8035.714286</v>
      </c>
      <c r="V62" s="155">
        <f t="shared" si="196"/>
        <v>0.1363636364</v>
      </c>
      <c r="W62" s="156" t="str">
        <f t="shared" si="197"/>
        <v>▲</v>
      </c>
      <c r="X62" s="62">
        <f>VLOOKUP($A60,'Апрель_2025'!$A$100:$M$111,5,0)</f>
        <v>0.06433823529</v>
      </c>
      <c r="Y62" s="63">
        <f>VLOOKUP($A60,'Апрель_2025'!$A$100:$M$111,6,0)</f>
        <v>15202.7027</v>
      </c>
      <c r="Z62" s="155">
        <f t="shared" si="198"/>
        <v>-0.04054054054</v>
      </c>
      <c r="AA62" s="153" t="str">
        <f t="shared" si="199"/>
        <v>▼</v>
      </c>
      <c r="AB62" s="63">
        <f>VLOOKUP($A60,'Апрель_2025'!$A$100:$M$111,7,0)</f>
        <v>8035.714286</v>
      </c>
      <c r="AC62" s="155">
        <f t="shared" si="200"/>
        <v>0</v>
      </c>
      <c r="AD62" s="156" t="str">
        <f t="shared" si="201"/>
        <v> </v>
      </c>
      <c r="AE62" s="62">
        <f>VLOOKUP($A60,'Май_2025'!$A$100:$M$111,5,0)</f>
        <v>0.06433823529</v>
      </c>
      <c r="AF62" s="63">
        <f>VLOOKUP($A60,'Май_2025'!$A$100:$M$111,6,0)</f>
        <v>14929.57746</v>
      </c>
      <c r="AG62" s="155">
        <f t="shared" si="202"/>
        <v>-0.01796557121</v>
      </c>
      <c r="AH62" s="153" t="str">
        <f t="shared" si="203"/>
        <v>▼</v>
      </c>
      <c r="AI62" s="63">
        <f>VLOOKUP($A60,'Май_2025'!$A$100:$M$111,7,0)</f>
        <v>7571.428571</v>
      </c>
      <c r="AJ62" s="155">
        <f t="shared" si="204"/>
        <v>-0.05777777778</v>
      </c>
      <c r="AK62" s="156" t="str">
        <f t="shared" si="205"/>
        <v>▼</v>
      </c>
      <c r="AL62" s="62">
        <f>VLOOKUP($A60,'Июнь_2025'!$A$100:$M$111,5,0)</f>
        <v>0.06433823529</v>
      </c>
      <c r="AM62" s="63">
        <f>VLOOKUP($A60,'Июнь_2025'!$A$100:$M$111,6,0)</f>
        <v>15333.33333</v>
      </c>
      <c r="AN62" s="155">
        <f t="shared" si="206"/>
        <v>0.02704402516</v>
      </c>
      <c r="AO62" s="153" t="str">
        <f t="shared" si="207"/>
        <v>▲</v>
      </c>
      <c r="AP62" s="63">
        <f>VLOOKUP($A60,'Июнь_2025'!$A$100:$M$111,7,0)</f>
        <v>8214.285714</v>
      </c>
      <c r="AQ62" s="155">
        <f t="shared" si="208"/>
        <v>0.08490566038</v>
      </c>
      <c r="AR62" s="156" t="str">
        <f t="shared" si="209"/>
        <v>▲</v>
      </c>
    </row>
    <row r="63">
      <c r="A63" s="157" t="s">
        <v>13</v>
      </c>
      <c r="B63" s="69"/>
      <c r="C63" s="62">
        <f>VLOOKUP($A60,'Январь_2025'!$A$100:$M$111,8,0)</f>
        <v>0.07008086253</v>
      </c>
      <c r="D63" s="63">
        <f>VLOOKUP($A60,'Январь_2025'!$A$100:$M$111,9,0)</f>
        <v>15476.19048</v>
      </c>
      <c r="E63" s="152"/>
      <c r="F63" s="153" t="str">
        <f t="shared" si="190"/>
        <v> </v>
      </c>
      <c r="G63" s="63">
        <f>VLOOKUP($A60,'Январь_2025'!$A$100:$M$111,10,0)</f>
        <v>7500</v>
      </c>
      <c r="H63" s="94"/>
      <c r="I63" s="150"/>
      <c r="J63" s="62">
        <f>VLOOKUP($A60,'Февраль_2025'!$A$100:$M$111,8,0)</f>
        <v>0.07008086253</v>
      </c>
      <c r="K63" s="63">
        <f>VLOOKUP($A60,'Февраль_2025'!$A$100:$M$111,9,0)</f>
        <v>19245.28302</v>
      </c>
      <c r="L63" s="155">
        <f t="shared" si="210"/>
        <v>0.2435413643</v>
      </c>
      <c r="M63" s="153" t="str">
        <f t="shared" si="191"/>
        <v>▲</v>
      </c>
      <c r="N63" s="63">
        <f>VLOOKUP($A60,'Февраль_2025'!$A$100:$M$111,10,0)</f>
        <v>7846.153846</v>
      </c>
      <c r="O63" s="155">
        <f t="shared" si="192"/>
        <v>0.04615384615</v>
      </c>
      <c r="P63" s="156" t="str">
        <f t="shared" si="193"/>
        <v>▲</v>
      </c>
      <c r="Q63" s="62">
        <f>VLOOKUP($A60,'Март_2025'!$A$100:$M$111,8,0)</f>
        <v>0.07008086253</v>
      </c>
      <c r="R63" s="63">
        <f>VLOOKUP($A60,'Март_2025'!$A$100:$M$111,9,0)</f>
        <v>16250</v>
      </c>
      <c r="S63" s="155">
        <f t="shared" si="194"/>
        <v>-0.1556372549</v>
      </c>
      <c r="T63" s="153" t="str">
        <f t="shared" si="195"/>
        <v>▼</v>
      </c>
      <c r="U63" s="63">
        <f>VLOOKUP($A60,'Март_2025'!$A$100:$M$111,10,0)</f>
        <v>7500</v>
      </c>
      <c r="V63" s="155">
        <f t="shared" si="196"/>
        <v>-0.04411764706</v>
      </c>
      <c r="W63" s="156" t="str">
        <f t="shared" si="197"/>
        <v>▼</v>
      </c>
      <c r="X63" s="62">
        <f>VLOOKUP($A60,'Апрель_2025'!$A$100:$M$111,8,0)</f>
        <v>0.07008086253</v>
      </c>
      <c r="Y63" s="63">
        <f>VLOOKUP($A60,'Апрель_2025'!$A$100:$M$111,9,0)</f>
        <v>16525.42373</v>
      </c>
      <c r="Z63" s="155">
        <f t="shared" si="198"/>
        <v>0.01694915254</v>
      </c>
      <c r="AA63" s="153" t="str">
        <f t="shared" si="199"/>
        <v>▲</v>
      </c>
      <c r="AB63" s="63">
        <f>VLOOKUP($A60,'Апрель_2025'!$A$100:$M$111,10,0)</f>
        <v>7500</v>
      </c>
      <c r="AC63" s="155">
        <f t="shared" si="200"/>
        <v>0</v>
      </c>
      <c r="AD63" s="156" t="str">
        <f t="shared" si="201"/>
        <v> </v>
      </c>
      <c r="AE63" s="62">
        <f>VLOOKUP($A60,'Май_2025'!$A$100:$M$111,8,0)</f>
        <v>0.07008086253</v>
      </c>
      <c r="AF63" s="63">
        <f>VLOOKUP($A60,'Май_2025'!$A$100:$M$111,9,0)</f>
        <v>16923.07692</v>
      </c>
      <c r="AG63" s="155">
        <f t="shared" si="202"/>
        <v>0.02406311637</v>
      </c>
      <c r="AH63" s="153" t="str">
        <f t="shared" si="203"/>
        <v>▲</v>
      </c>
      <c r="AI63" s="63">
        <f>VLOOKUP($A60,'Май_2025'!$A$100:$M$111,10,0)</f>
        <v>8461.538462</v>
      </c>
      <c r="AJ63" s="155">
        <f t="shared" si="204"/>
        <v>0.1282051282</v>
      </c>
      <c r="AK63" s="156" t="str">
        <f t="shared" si="205"/>
        <v>▲</v>
      </c>
      <c r="AL63" s="62">
        <f>VLOOKUP($A60,'Июнь_2025'!$A$100:$M$111,8,0)</f>
        <v>0.07008086253</v>
      </c>
      <c r="AM63" s="63">
        <f>VLOOKUP($A60,'Июнь_2025'!$A$100:$M$111,9,0)</f>
        <v>18461.53846</v>
      </c>
      <c r="AN63" s="155">
        <f t="shared" si="206"/>
        <v>0.09090909091</v>
      </c>
      <c r="AO63" s="153" t="str">
        <f t="shared" si="207"/>
        <v>▲</v>
      </c>
      <c r="AP63" s="63">
        <f>VLOOKUP($A60,'Июнь_2025'!$A$100:$M$111,10,0)</f>
        <v>9230.769231</v>
      </c>
      <c r="AQ63" s="155">
        <f t="shared" si="208"/>
        <v>0.09090909091</v>
      </c>
      <c r="AR63" s="156" t="str">
        <f t="shared" si="209"/>
        <v>▲</v>
      </c>
    </row>
    <row r="64">
      <c r="A64" s="151" t="s">
        <v>19</v>
      </c>
      <c r="B64" s="69"/>
      <c r="C64" s="62">
        <f>VLOOKUP($A60,'Январь_2025'!$A$100:$M$111,11,0)</f>
        <v>0.05150214592</v>
      </c>
      <c r="D64" s="63">
        <f>VLOOKUP($A60,'Январь_2025'!$A$100:$M$111,12,0)</f>
        <v>16363.63636</v>
      </c>
      <c r="E64" s="152"/>
      <c r="F64" s="153" t="str">
        <f t="shared" si="190"/>
        <v> </v>
      </c>
      <c r="G64" s="63">
        <f>VLOOKUP($A60,'Январь_2025'!$A$100:$M$111,13,0)</f>
        <v>7500</v>
      </c>
      <c r="H64" s="94"/>
      <c r="I64" s="150"/>
      <c r="J64" s="62">
        <f>VLOOKUP($A60,'Февраль_2025'!$A$100:$M$111,11,0)</f>
        <v>0.05150214592</v>
      </c>
      <c r="K64" s="63">
        <f>VLOOKUP($A60,'Февраль_2025'!$A$100:$M$111,12,0)</f>
        <v>15000</v>
      </c>
      <c r="L64" s="155">
        <f t="shared" si="210"/>
        <v>-0.08333333333</v>
      </c>
      <c r="M64" s="153" t="str">
        <f t="shared" si="191"/>
        <v>▼</v>
      </c>
      <c r="N64" s="63">
        <f>VLOOKUP($A60,'Февраль_2025'!$A$100:$M$111,13,0)</f>
        <v>7500</v>
      </c>
      <c r="O64" s="155">
        <f t="shared" si="192"/>
        <v>0</v>
      </c>
      <c r="P64" s="156" t="str">
        <f t="shared" si="193"/>
        <v> </v>
      </c>
      <c r="Q64" s="62">
        <f>VLOOKUP($A60,'Март_2025'!$A$100:$M$111,11,0)</f>
        <v>0.05150214592</v>
      </c>
      <c r="R64" s="63">
        <f>VLOOKUP($A60,'Март_2025'!$A$100:$M$111,12,0)</f>
        <v>18333.33333</v>
      </c>
      <c r="S64" s="155">
        <f t="shared" si="194"/>
        <v>0.2222222222</v>
      </c>
      <c r="T64" s="153" t="str">
        <f t="shared" si="195"/>
        <v>▲</v>
      </c>
      <c r="U64" s="63">
        <f>VLOOKUP($A60,'Март_2025'!$A$100:$M$111,13,0)</f>
        <v>9166.666667</v>
      </c>
      <c r="V64" s="155">
        <f t="shared" si="196"/>
        <v>0.2222222222</v>
      </c>
      <c r="W64" s="156" t="str">
        <f t="shared" si="197"/>
        <v>▲</v>
      </c>
      <c r="X64" s="62">
        <f>VLOOKUP($A60,'Апрель_2025'!$A$100:$M$111,11,0)</f>
        <v>0.05150214592</v>
      </c>
      <c r="Y64" s="63">
        <f>VLOOKUP($A60,'Апрель_2025'!$A$100:$M$111,12,0)</f>
        <v>16666.66667</v>
      </c>
      <c r="Z64" s="155">
        <f t="shared" si="198"/>
        <v>-0.09090909091</v>
      </c>
      <c r="AA64" s="153" t="str">
        <f t="shared" si="199"/>
        <v>▼</v>
      </c>
      <c r="AB64" s="63">
        <f>VLOOKUP($A60,'Апрель_2025'!$A$100:$M$111,13,0)</f>
        <v>7500</v>
      </c>
      <c r="AC64" s="155">
        <f t="shared" si="200"/>
        <v>-0.1818181818</v>
      </c>
      <c r="AD64" s="156" t="str">
        <f t="shared" si="201"/>
        <v>▼</v>
      </c>
      <c r="AE64" s="62">
        <f>VLOOKUP($A60,'Май_2025'!$A$100:$M$111,11,0)</f>
        <v>0.05150214592</v>
      </c>
      <c r="AF64" s="63">
        <f>VLOOKUP($A60,'Май_2025'!$A$100:$M$111,12,0)</f>
        <v>15000</v>
      </c>
      <c r="AG64" s="155">
        <f t="shared" si="202"/>
        <v>-0.1</v>
      </c>
      <c r="AH64" s="153" t="str">
        <f t="shared" si="203"/>
        <v>▼</v>
      </c>
      <c r="AI64" s="63">
        <f>VLOOKUP($A60,'Май_2025'!$A$100:$M$111,13,0)</f>
        <v>7500</v>
      </c>
      <c r="AJ64" s="155">
        <f t="shared" si="204"/>
        <v>0</v>
      </c>
      <c r="AK64" s="156" t="str">
        <f t="shared" si="205"/>
        <v> </v>
      </c>
      <c r="AL64" s="62">
        <f>VLOOKUP($A60,'Июнь_2025'!$A$100:$M$111,11,0)</f>
        <v>0.05150214592</v>
      </c>
      <c r="AM64" s="63">
        <f>VLOOKUP($A60,'Июнь_2025'!$A$100:$M$111,12,0)</f>
        <v>18333.33333</v>
      </c>
      <c r="AN64" s="155">
        <f t="shared" si="206"/>
        <v>0.2222222222</v>
      </c>
      <c r="AO64" s="153" t="str">
        <f t="shared" si="207"/>
        <v>▲</v>
      </c>
      <c r="AP64" s="63">
        <f>VLOOKUP($A60,'Июнь_2025'!$A$100:$M$111,13,0)</f>
        <v>9166.666667</v>
      </c>
      <c r="AQ64" s="155">
        <f t="shared" si="208"/>
        <v>0.2222222222</v>
      </c>
      <c r="AR64" s="156" t="str">
        <f t="shared" si="209"/>
        <v>▲</v>
      </c>
    </row>
    <row r="65">
      <c r="A65" s="158"/>
      <c r="B65" s="69"/>
      <c r="C65" s="62"/>
      <c r="D65" s="97"/>
      <c r="E65" s="94"/>
      <c r="F65" s="94"/>
      <c r="G65" s="94"/>
      <c r="H65" s="94"/>
      <c r="I65" s="150"/>
      <c r="J65" s="62"/>
      <c r="K65" s="97"/>
      <c r="L65" s="155"/>
      <c r="M65" s="153"/>
      <c r="N65" s="94"/>
      <c r="O65" s="155"/>
      <c r="P65" s="156"/>
      <c r="Q65" s="62"/>
      <c r="R65" s="97"/>
      <c r="S65" s="155"/>
      <c r="T65" s="153"/>
      <c r="U65" s="94"/>
      <c r="V65" s="155"/>
      <c r="W65" s="156"/>
      <c r="X65" s="62"/>
      <c r="Y65" s="97"/>
      <c r="Z65" s="155"/>
      <c r="AA65" s="153"/>
      <c r="AB65" s="94"/>
      <c r="AC65" s="155"/>
      <c r="AD65" s="156"/>
      <c r="AE65" s="62"/>
      <c r="AF65" s="97"/>
      <c r="AG65" s="155"/>
      <c r="AH65" s="153"/>
      <c r="AI65" s="94"/>
      <c r="AJ65" s="155"/>
      <c r="AK65" s="156"/>
      <c r="AL65" s="62"/>
      <c r="AM65" s="97"/>
      <c r="AN65" s="155"/>
      <c r="AO65" s="153"/>
      <c r="AP65" s="94"/>
      <c r="AQ65" s="155"/>
      <c r="AR65" s="156"/>
    </row>
    <row r="66">
      <c r="A66" s="149" t="s">
        <v>149</v>
      </c>
      <c r="B66" s="69"/>
      <c r="C66" s="62"/>
      <c r="D66" s="97"/>
      <c r="E66" s="94"/>
      <c r="F66" s="94"/>
      <c r="G66" s="94"/>
      <c r="H66" s="94"/>
      <c r="I66" s="150"/>
      <c r="J66" s="62"/>
      <c r="K66" s="97"/>
      <c r="L66" s="155"/>
      <c r="M66" s="153"/>
      <c r="N66" s="94"/>
      <c r="O66" s="155"/>
      <c r="P66" s="156"/>
      <c r="Q66" s="62"/>
      <c r="R66" s="97"/>
      <c r="S66" s="155"/>
      <c r="T66" s="153"/>
      <c r="U66" s="94"/>
      <c r="V66" s="155"/>
      <c r="W66" s="156"/>
      <c r="X66" s="62"/>
      <c r="Y66" s="97"/>
      <c r="Z66" s="155"/>
      <c r="AA66" s="153"/>
      <c r="AB66" s="94"/>
      <c r="AC66" s="155"/>
      <c r="AD66" s="156"/>
      <c r="AE66" s="62"/>
      <c r="AF66" s="97"/>
      <c r="AG66" s="155"/>
      <c r="AH66" s="153"/>
      <c r="AI66" s="94"/>
      <c r="AJ66" s="155"/>
      <c r="AK66" s="156"/>
      <c r="AL66" s="62"/>
      <c r="AM66" s="97"/>
      <c r="AN66" s="155"/>
      <c r="AO66" s="153"/>
      <c r="AP66" s="94"/>
      <c r="AQ66" s="155"/>
      <c r="AR66" s="156"/>
    </row>
    <row r="67">
      <c r="A67" s="151" t="s">
        <v>16</v>
      </c>
      <c r="B67" s="69"/>
      <c r="C67" s="62">
        <f>VLOOKUP($A66,'Январь_2025'!$A$100:$M$111,2,0)</f>
        <v>0.04177377892</v>
      </c>
      <c r="D67" s="63">
        <f>VLOOKUP($A66,'Январь_2025'!$A$100:$M$111,3,0)</f>
        <v>26000</v>
      </c>
      <c r="E67" s="152"/>
      <c r="F67" s="153" t="str">
        <f t="shared" ref="F67:F70" si="211">IF(E67&gt;0,"▲",IF(E67&lt;0, "▼", " "))</f>
        <v> </v>
      </c>
      <c r="G67" s="63">
        <f>VLOOKUP($A66,'Январь_2025'!$A$100:$M$111,4,0)</f>
        <v>14000</v>
      </c>
      <c r="H67" s="94"/>
      <c r="I67" s="150"/>
      <c r="J67" s="62">
        <f>VLOOKUP($A66,'Февраль_2025'!$A$100:$M$111,2,0)</f>
        <v>0.04177377892</v>
      </c>
      <c r="K67" s="63">
        <f>VLOOKUP($A66,'Февраль_2025'!$A$100:$M$111,3,0)</f>
        <v>26000</v>
      </c>
      <c r="L67" s="155">
        <f>IFERROR(K67/D67-1,0)</f>
        <v>0</v>
      </c>
      <c r="M67" s="153" t="str">
        <f t="shared" ref="M67:M70" si="212">IF(L67&gt;0,"▲",IF(L67&lt;0, "▼", " "))</f>
        <v> </v>
      </c>
      <c r="N67" s="63">
        <f>VLOOKUP($A66,'Февраль_2025'!$A$100:$M$111,4,0)</f>
        <v>14000</v>
      </c>
      <c r="O67" s="155">
        <f t="shared" ref="O67:O70" si="213">IFERROR(N67/G67-1,0)</f>
        <v>0</v>
      </c>
      <c r="P67" s="156" t="str">
        <f t="shared" ref="P67:P70" si="214">IF(O67&gt;0,"▲",IF(O67&lt;0, "▼", " "))</f>
        <v> </v>
      </c>
      <c r="Q67" s="62">
        <f>VLOOKUP($A66,'Март_2025'!$A$100:$M$111,2,0)</f>
        <v>0.04177377892</v>
      </c>
      <c r="R67" s="63">
        <f>VLOOKUP($A66,'Март_2025'!$A$100:$M$111,3,0)</f>
        <v>24266.66667</v>
      </c>
      <c r="S67" s="155">
        <f t="shared" ref="S67:S70" si="215">IFERROR(R67/K67-1,0)</f>
        <v>-0.06666666667</v>
      </c>
      <c r="T67" s="153" t="str">
        <f t="shared" ref="T67:T70" si="216">IF(S67&gt;0,"▲",IF(S67&lt;0, "▼", " "))</f>
        <v>▼</v>
      </c>
      <c r="U67" s="63">
        <f>VLOOKUP($A66,'Март_2025'!$A$100:$M$111,4,0)</f>
        <v>14000</v>
      </c>
      <c r="V67" s="155">
        <f t="shared" ref="V67:V70" si="217">IFERROR(U67/N67-1,0)</f>
        <v>0</v>
      </c>
      <c r="W67" s="156" t="str">
        <f t="shared" ref="W67:W70" si="218">IF(V67&gt;0,"▲",IF(V67&lt;0, "▼", " "))</f>
        <v> </v>
      </c>
      <c r="X67" s="62">
        <f>VLOOKUP($A66,'Апрель_2025'!$A$100:$M$111,2,0)</f>
        <v>0.04177377892</v>
      </c>
      <c r="Y67" s="63">
        <f>VLOOKUP($A66,'Апрель_2025'!$A$100:$M$111,3,0)</f>
        <v>26000</v>
      </c>
      <c r="Z67" s="155">
        <f t="shared" ref="Z67:Z70" si="219">IFERROR(Y67/R67-1,0)</f>
        <v>0.07142857143</v>
      </c>
      <c r="AA67" s="153" t="str">
        <f t="shared" ref="AA67:AA70" si="220">IF(Z67&gt;0,"▲",IF(Z67&lt;0, "▼", " "))</f>
        <v>▲</v>
      </c>
      <c r="AB67" s="63">
        <f>VLOOKUP($A66,'Апрель_2025'!$A$100:$M$111,4,0)</f>
        <v>14000</v>
      </c>
      <c r="AC67" s="155">
        <f t="shared" ref="AC67:AC70" si="221">IFERROR(AB67/U67-1,0)</f>
        <v>0</v>
      </c>
      <c r="AD67" s="156" t="str">
        <f t="shared" ref="AD67:AD70" si="222">IF(AC67&gt;0,"▲",IF(AC67&lt;0, "▼", " "))</f>
        <v> </v>
      </c>
      <c r="AE67" s="62">
        <f>VLOOKUP($A66,'Май_2025'!$A$100:$M$111,2,0)</f>
        <v>0.04177377892</v>
      </c>
      <c r="AF67" s="63">
        <f>VLOOKUP($A66,'Май_2025'!$A$100:$M$111,3,0)</f>
        <v>26000</v>
      </c>
      <c r="AG67" s="155">
        <f t="shared" ref="AG67:AG70" si="223">IFERROR(AF67/Y67-1,0)</f>
        <v>0</v>
      </c>
      <c r="AH67" s="153" t="str">
        <f t="shared" ref="AH67:AH70" si="224">IF(AG67&gt;0,"▲",IF(AG67&lt;0, "▼", " "))</f>
        <v> </v>
      </c>
      <c r="AI67" s="63">
        <f>VLOOKUP($A66,'Май_2025'!$A$100:$M$111,4,0)</f>
        <v>14000</v>
      </c>
      <c r="AJ67" s="155">
        <f t="shared" ref="AJ67:AJ70" si="225">IFERROR(AI67/AB67-1,0)</f>
        <v>0</v>
      </c>
      <c r="AK67" s="156" t="str">
        <f t="shared" ref="AK67:AK70" si="226">IF(AJ67&gt;0,"▲",IF(AJ67&lt;0, "▼", " "))</f>
        <v> </v>
      </c>
      <c r="AL67" s="62">
        <f>VLOOKUP($A66,'Июнь_2025'!$A$100:$M$111,2,0)</f>
        <v>0.04177377892</v>
      </c>
      <c r="AM67" s="63">
        <f>VLOOKUP($A66,'Июнь_2025'!$A$100:$M$111,3,0)</f>
        <v>23416.66667</v>
      </c>
      <c r="AN67" s="155">
        <f t="shared" ref="AN67:AN70" si="227">IFERROR(AM67/AF67-1,0)</f>
        <v>-0.09935897436</v>
      </c>
      <c r="AO67" s="153" t="str">
        <f t="shared" ref="AO67:AO70" si="228">IF(AN67&gt;0,"▲",IF(AN67&lt;0, "▼", " "))</f>
        <v>▼</v>
      </c>
      <c r="AP67" s="63">
        <f>VLOOKUP($A66,'Июнь_2025'!$A$100:$M$111,4,0)</f>
        <v>10807.69231</v>
      </c>
      <c r="AQ67" s="155">
        <f t="shared" ref="AQ67:AQ70" si="229">IFERROR(AP67/AI67-1,0)</f>
        <v>-0.228021978</v>
      </c>
      <c r="AR67" s="156" t="str">
        <f t="shared" ref="AR67:AR70" si="230">IF(AQ67&gt;0,"▲",IF(AQ67&lt;0, "▼", " "))</f>
        <v>▼</v>
      </c>
    </row>
    <row r="68">
      <c r="A68" s="157" t="s">
        <v>9</v>
      </c>
      <c r="B68" s="69"/>
      <c r="C68" s="62">
        <f>VLOOKUP($A66,'Январь_2025'!$A$100:$M$111,5,0)</f>
        <v>0.05514705882</v>
      </c>
      <c r="D68" s="63">
        <f>VLOOKUP($A66,'Январь_2025'!$A$100:$M$111,6,0)</f>
        <v>240000</v>
      </c>
      <c r="E68" s="152"/>
      <c r="F68" s="153" t="str">
        <f t="shared" si="211"/>
        <v> </v>
      </c>
      <c r="G68" s="63">
        <f>VLOOKUP($A66,'Январь_2025'!$A$100:$M$111,7,0)</f>
        <v>130000</v>
      </c>
      <c r="H68" s="94"/>
      <c r="I68" s="150"/>
      <c r="J68" s="62">
        <f>VLOOKUP($A66,'Февраль_2025'!$A$100:$M$111,5,0)</f>
        <v>0.05514705882</v>
      </c>
      <c r="K68" s="63">
        <f>VLOOKUP($A66,'Февраль_2025'!$A$100:$M$111,6,0)</f>
        <v>222222.2222</v>
      </c>
      <c r="L68" s="155">
        <f t="shared" ref="L68:L70" si="231">K68/D68-1</f>
        <v>-0.07407407407</v>
      </c>
      <c r="M68" s="153" t="str">
        <f t="shared" si="212"/>
        <v>▼</v>
      </c>
      <c r="N68" s="63">
        <f>VLOOKUP($A66,'Февраль_2025'!$A$100:$M$111,7,0)</f>
        <v>100000</v>
      </c>
      <c r="O68" s="155">
        <f t="shared" si="213"/>
        <v>-0.2307692308</v>
      </c>
      <c r="P68" s="156" t="str">
        <f t="shared" si="214"/>
        <v>▼</v>
      </c>
      <c r="Q68" s="62">
        <f>VLOOKUP($A66,'Март_2025'!$A$100:$M$111,5,0)</f>
        <v>0.05514705882</v>
      </c>
      <c r="R68" s="63">
        <f>VLOOKUP($A66,'Март_2025'!$A$100:$M$111,6,0)</f>
        <v>247619.0476</v>
      </c>
      <c r="S68" s="155">
        <f t="shared" si="215"/>
        <v>0.1142857143</v>
      </c>
      <c r="T68" s="153" t="str">
        <f t="shared" si="216"/>
        <v>▲</v>
      </c>
      <c r="U68" s="63">
        <f>VLOOKUP($A66,'Март_2025'!$A$100:$M$111,7,0)</f>
        <v>130000</v>
      </c>
      <c r="V68" s="155">
        <f t="shared" si="217"/>
        <v>0.3</v>
      </c>
      <c r="W68" s="156" t="str">
        <f t="shared" si="218"/>
        <v>▲</v>
      </c>
      <c r="X68" s="62">
        <f>VLOOKUP($A66,'Апрель_2025'!$A$100:$M$111,5,0)</f>
        <v>0.05514705882</v>
      </c>
      <c r="Y68" s="63">
        <f>VLOOKUP($A66,'Апрель_2025'!$A$100:$M$111,6,0)</f>
        <v>222857.1429</v>
      </c>
      <c r="Z68" s="155">
        <f t="shared" si="219"/>
        <v>-0.1</v>
      </c>
      <c r="AA68" s="153" t="str">
        <f t="shared" si="220"/>
        <v>▼</v>
      </c>
      <c r="AB68" s="63">
        <f>VLOOKUP($A66,'Апрель_2025'!$A$100:$M$111,7,0)</f>
        <v>130000</v>
      </c>
      <c r="AC68" s="155">
        <f t="shared" si="221"/>
        <v>0</v>
      </c>
      <c r="AD68" s="156" t="str">
        <f t="shared" si="222"/>
        <v> </v>
      </c>
      <c r="AE68" s="62">
        <f>VLOOKUP($A66,'Май_2025'!$A$100:$M$111,5,0)</f>
        <v>0.05514705882</v>
      </c>
      <c r="AF68" s="63">
        <f>VLOOKUP($A66,'Май_2025'!$A$100:$M$111,6,0)</f>
        <v>215384.6154</v>
      </c>
      <c r="AG68" s="155">
        <f t="shared" si="223"/>
        <v>-0.03353057199</v>
      </c>
      <c r="AH68" s="153" t="str">
        <f t="shared" si="224"/>
        <v>▼</v>
      </c>
      <c r="AI68" s="63">
        <f>VLOOKUP($A66,'Май_2025'!$A$100:$M$111,7,0)</f>
        <v>116666.6667</v>
      </c>
      <c r="AJ68" s="155">
        <f t="shared" si="225"/>
        <v>-0.1025641026</v>
      </c>
      <c r="AK68" s="156" t="str">
        <f t="shared" si="226"/>
        <v>▼</v>
      </c>
      <c r="AL68" s="62">
        <f>VLOOKUP($A66,'Июнь_2025'!$A$100:$M$111,5,0)</f>
        <v>0.05514705882</v>
      </c>
      <c r="AM68" s="63">
        <f>VLOOKUP($A66,'Июнь_2025'!$A$100:$M$111,6,0)</f>
        <v>266666.6667</v>
      </c>
      <c r="AN68" s="155">
        <f t="shared" si="227"/>
        <v>0.2380952381</v>
      </c>
      <c r="AO68" s="153" t="str">
        <f t="shared" si="228"/>
        <v>▲</v>
      </c>
      <c r="AP68" s="63">
        <f>VLOOKUP($A66,'Июнь_2025'!$A$100:$M$111,7,0)</f>
        <v>100000</v>
      </c>
      <c r="AQ68" s="155">
        <f t="shared" si="229"/>
        <v>-0.1428571429</v>
      </c>
      <c r="AR68" s="156" t="str">
        <f t="shared" si="230"/>
        <v>▼</v>
      </c>
    </row>
    <row r="69">
      <c r="A69" s="157" t="s">
        <v>13</v>
      </c>
      <c r="B69" s="69"/>
      <c r="C69" s="62">
        <f>VLOOKUP($A66,'Январь_2025'!$A$100:$M$111,8,0)</f>
        <v>0.05929919137</v>
      </c>
      <c r="D69" s="63">
        <f>VLOOKUP($A66,'Январь_2025'!$A$100:$M$111,9,0)</f>
        <v>22000</v>
      </c>
      <c r="E69" s="152"/>
      <c r="F69" s="153" t="str">
        <f t="shared" si="211"/>
        <v> </v>
      </c>
      <c r="G69" s="63">
        <f>VLOOKUP($A66,'Январь_2025'!$A$100:$M$111,10,0)</f>
        <v>12000</v>
      </c>
      <c r="H69" s="94"/>
      <c r="I69" s="150"/>
      <c r="J69" s="62">
        <f>VLOOKUP($A66,'Февраль_2025'!$A$100:$M$111,8,0)</f>
        <v>0.05929919137</v>
      </c>
      <c r="K69" s="63">
        <f>VLOOKUP($A66,'Февраль_2025'!$A$100:$M$111,9,0)</f>
        <v>28571.42857</v>
      </c>
      <c r="L69" s="155">
        <f t="shared" si="231"/>
        <v>0.2987012987</v>
      </c>
      <c r="M69" s="153" t="str">
        <f t="shared" si="212"/>
        <v>▲</v>
      </c>
      <c r="N69" s="63">
        <f>VLOOKUP($A66,'Февраль_2025'!$A$100:$M$111,10,0)</f>
        <v>14545.45455</v>
      </c>
      <c r="O69" s="155">
        <f t="shared" si="213"/>
        <v>0.2121212121</v>
      </c>
      <c r="P69" s="156" t="str">
        <f t="shared" si="214"/>
        <v>▲</v>
      </c>
      <c r="Q69" s="62">
        <f>VLOOKUP($A66,'Март_2025'!$A$100:$M$111,8,0)</f>
        <v>0.05929919137</v>
      </c>
      <c r="R69" s="63">
        <f>VLOOKUP($A66,'Март_2025'!$A$100:$M$111,9,0)</f>
        <v>21290.32258</v>
      </c>
      <c r="S69" s="155">
        <f t="shared" si="215"/>
        <v>-0.2548387097</v>
      </c>
      <c r="T69" s="153" t="str">
        <f t="shared" si="216"/>
        <v>▼</v>
      </c>
      <c r="U69" s="63">
        <f>VLOOKUP($A66,'Март_2025'!$A$100:$M$111,10,0)</f>
        <v>12000</v>
      </c>
      <c r="V69" s="155">
        <f t="shared" si="217"/>
        <v>-0.175</v>
      </c>
      <c r="W69" s="156" t="str">
        <f t="shared" si="218"/>
        <v>▼</v>
      </c>
      <c r="X69" s="62">
        <f>VLOOKUP($A66,'Апрель_2025'!$A$100:$M$111,8,0)</f>
        <v>0.05929919137</v>
      </c>
      <c r="Y69" s="63">
        <f>VLOOKUP($A66,'Апрель_2025'!$A$100:$M$111,9,0)</f>
        <v>24444.44444</v>
      </c>
      <c r="Z69" s="155">
        <f t="shared" si="219"/>
        <v>0.1481481481</v>
      </c>
      <c r="AA69" s="153" t="str">
        <f t="shared" si="220"/>
        <v>▲</v>
      </c>
      <c r="AB69" s="63">
        <f>VLOOKUP($A66,'Апрель_2025'!$A$100:$M$111,10,0)</f>
        <v>12000</v>
      </c>
      <c r="AC69" s="155">
        <f t="shared" si="221"/>
        <v>0</v>
      </c>
      <c r="AD69" s="156" t="str">
        <f t="shared" si="222"/>
        <v> </v>
      </c>
      <c r="AE69" s="62">
        <f>VLOOKUP($A66,'Май_2025'!$A$100:$M$111,8,0)</f>
        <v>0.05929919137</v>
      </c>
      <c r="AF69" s="63">
        <f>VLOOKUP($A66,'Май_2025'!$A$100:$M$111,9,0)</f>
        <v>22000</v>
      </c>
      <c r="AG69" s="155">
        <f t="shared" si="223"/>
        <v>-0.1</v>
      </c>
      <c r="AH69" s="153" t="str">
        <f t="shared" si="224"/>
        <v>▼</v>
      </c>
      <c r="AI69" s="63">
        <f>VLOOKUP($A66,'Май_2025'!$A$100:$M$111,10,0)</f>
        <v>12000</v>
      </c>
      <c r="AJ69" s="155">
        <f t="shared" si="225"/>
        <v>0</v>
      </c>
      <c r="AK69" s="156" t="str">
        <f t="shared" si="226"/>
        <v> </v>
      </c>
      <c r="AL69" s="62">
        <f>VLOOKUP($A66,'Июнь_2025'!$A$100:$M$111,8,0)</f>
        <v>0.05929919137</v>
      </c>
      <c r="AM69" s="63">
        <f>VLOOKUP($A66,'Июнь_2025'!$A$100:$M$111,9,0)</f>
        <v>23478.26087</v>
      </c>
      <c r="AN69" s="155">
        <f t="shared" si="227"/>
        <v>0.06719367589</v>
      </c>
      <c r="AO69" s="153" t="str">
        <f t="shared" si="228"/>
        <v>▲</v>
      </c>
      <c r="AP69" s="63">
        <f>VLOOKUP($A66,'Июнь_2025'!$A$100:$M$111,10,0)</f>
        <v>9818.181818</v>
      </c>
      <c r="AQ69" s="155">
        <f t="shared" si="229"/>
        <v>-0.1818181818</v>
      </c>
      <c r="AR69" s="156" t="str">
        <f t="shared" si="230"/>
        <v>▼</v>
      </c>
    </row>
    <row r="70">
      <c r="A70" s="151" t="s">
        <v>19</v>
      </c>
      <c r="B70" s="69"/>
      <c r="C70" s="62">
        <f>VLOOKUP($A66,'Январь_2025'!$A$100:$M$111,11,0)</f>
        <v>0.04291845494</v>
      </c>
      <c r="D70" s="63">
        <f>VLOOKUP($A66,'Январь_2025'!$A$100:$M$111,12,0)</f>
        <v>22000</v>
      </c>
      <c r="E70" s="152"/>
      <c r="F70" s="153" t="str">
        <f t="shared" si="211"/>
        <v> </v>
      </c>
      <c r="G70" s="63">
        <f>VLOOKUP($A66,'Январь_2025'!$A$100:$M$111,13,0)</f>
        <v>12100</v>
      </c>
      <c r="H70" s="94"/>
      <c r="I70" s="150"/>
      <c r="J70" s="62">
        <f>VLOOKUP($A66,'Февраль_2025'!$A$100:$M$111,11,0)</f>
        <v>0.04291845494</v>
      </c>
      <c r="K70" s="63">
        <f>VLOOKUP($A66,'Февраль_2025'!$A$100:$M$111,12,0)</f>
        <v>22000</v>
      </c>
      <c r="L70" s="155">
        <f t="shared" si="231"/>
        <v>0</v>
      </c>
      <c r="M70" s="153" t="str">
        <f t="shared" si="212"/>
        <v> </v>
      </c>
      <c r="N70" s="63">
        <f>VLOOKUP($A66,'Февраль_2025'!$A$100:$M$111,13,0)</f>
        <v>12100</v>
      </c>
      <c r="O70" s="155">
        <f t="shared" si="213"/>
        <v>0</v>
      </c>
      <c r="P70" s="156" t="str">
        <f t="shared" si="214"/>
        <v> </v>
      </c>
      <c r="Q70" s="62">
        <f>VLOOKUP($A66,'Март_2025'!$A$100:$M$111,11,0)</f>
        <v>0.04291845494</v>
      </c>
      <c r="R70" s="63">
        <f>VLOOKUP($A66,'Март_2025'!$A$100:$M$111,12,0)</f>
        <v>24200</v>
      </c>
      <c r="S70" s="155">
        <f t="shared" si="215"/>
        <v>0.1</v>
      </c>
      <c r="T70" s="153" t="str">
        <f t="shared" si="216"/>
        <v>▲</v>
      </c>
      <c r="U70" s="63">
        <f>VLOOKUP($A66,'Март_2025'!$A$100:$M$111,13,0)</f>
        <v>12100</v>
      </c>
      <c r="V70" s="155">
        <f t="shared" si="217"/>
        <v>0</v>
      </c>
      <c r="W70" s="156" t="str">
        <f t="shared" si="218"/>
        <v> </v>
      </c>
      <c r="X70" s="62">
        <f>VLOOKUP($A66,'Апрель_2025'!$A$100:$M$111,11,0)</f>
        <v>0.04291845494</v>
      </c>
      <c r="Y70" s="63">
        <f>VLOOKUP($A66,'Апрель_2025'!$A$100:$M$111,12,0)</f>
        <v>22000</v>
      </c>
      <c r="Z70" s="155">
        <f t="shared" si="219"/>
        <v>-0.09090909091</v>
      </c>
      <c r="AA70" s="153" t="str">
        <f t="shared" si="220"/>
        <v>▼</v>
      </c>
      <c r="AB70" s="63">
        <f>VLOOKUP($A66,'Апрель_2025'!$A$100:$M$111,13,0)</f>
        <v>12100</v>
      </c>
      <c r="AC70" s="155">
        <f t="shared" si="221"/>
        <v>0</v>
      </c>
      <c r="AD70" s="156" t="str">
        <f t="shared" si="222"/>
        <v> </v>
      </c>
      <c r="AE70" s="62">
        <f>VLOOKUP($A66,'Май_2025'!$A$100:$M$111,11,0)</f>
        <v>0.04291845494</v>
      </c>
      <c r="AF70" s="63">
        <f>VLOOKUP($A66,'Май_2025'!$A$100:$M$111,12,0)</f>
        <v>22000</v>
      </c>
      <c r="AG70" s="155">
        <f t="shared" si="223"/>
        <v>0</v>
      </c>
      <c r="AH70" s="153" t="str">
        <f t="shared" si="224"/>
        <v> </v>
      </c>
      <c r="AI70" s="63">
        <f>VLOOKUP($A66,'Май_2025'!$A$100:$M$111,13,0)</f>
        <v>12100</v>
      </c>
      <c r="AJ70" s="155">
        <f t="shared" si="225"/>
        <v>0</v>
      </c>
      <c r="AK70" s="156" t="str">
        <f t="shared" si="226"/>
        <v> </v>
      </c>
      <c r="AL70" s="62">
        <f>VLOOKUP($A66,'Июнь_2025'!$A$100:$M$111,11,0)</f>
        <v>0.04291845494</v>
      </c>
      <c r="AM70" s="63">
        <f>VLOOKUP($A66,'Июнь_2025'!$A$100:$M$111,12,0)</f>
        <v>22500</v>
      </c>
      <c r="AN70" s="155">
        <f t="shared" si="227"/>
        <v>0.02272727273</v>
      </c>
      <c r="AO70" s="153" t="str">
        <f t="shared" si="228"/>
        <v>▲</v>
      </c>
      <c r="AP70" s="63">
        <f>VLOOKUP($A66,'Июнь_2025'!$A$100:$M$111,13,0)</f>
        <v>9000</v>
      </c>
      <c r="AQ70" s="155">
        <f t="shared" si="229"/>
        <v>-0.2561983471</v>
      </c>
      <c r="AR70" s="156" t="str">
        <f t="shared" si="230"/>
        <v>▼</v>
      </c>
    </row>
    <row r="71">
      <c r="A71" s="158"/>
      <c r="B71" s="69"/>
      <c r="C71" s="97"/>
      <c r="D71" s="97"/>
      <c r="E71" s="94"/>
      <c r="F71" s="94"/>
      <c r="G71" s="94"/>
      <c r="H71" s="94"/>
      <c r="I71" s="70"/>
      <c r="J71" s="97"/>
      <c r="K71" s="97"/>
      <c r="L71" s="155"/>
      <c r="M71" s="94"/>
      <c r="N71" s="94"/>
      <c r="O71" s="140"/>
      <c r="P71" s="143"/>
      <c r="Q71" s="97"/>
      <c r="R71" s="97"/>
      <c r="S71" s="155"/>
      <c r="T71" s="94"/>
      <c r="U71" s="94"/>
      <c r="V71" s="140"/>
      <c r="W71" s="143"/>
      <c r="X71" s="97"/>
      <c r="Y71" s="97"/>
      <c r="Z71" s="155"/>
      <c r="AA71" s="94"/>
      <c r="AB71" s="94"/>
      <c r="AC71" s="155"/>
      <c r="AD71" s="143"/>
      <c r="AE71" s="97"/>
      <c r="AF71" s="97"/>
      <c r="AG71" s="155"/>
      <c r="AH71" s="94"/>
      <c r="AI71" s="94"/>
      <c r="AJ71" s="155"/>
      <c r="AK71" s="143"/>
      <c r="AL71" s="97"/>
      <c r="AM71" s="97"/>
      <c r="AN71" s="155"/>
      <c r="AO71" s="94"/>
      <c r="AP71" s="94"/>
      <c r="AQ71" s="155"/>
      <c r="AR71" s="143"/>
    </row>
  </sheetData>
  <mergeCells count="19">
    <mergeCell ref="E4:F4"/>
    <mergeCell ref="H4:I4"/>
    <mergeCell ref="L4:M4"/>
    <mergeCell ref="O4:P4"/>
    <mergeCell ref="S4:T4"/>
    <mergeCell ref="V4:W4"/>
    <mergeCell ref="Z4:AA4"/>
    <mergeCell ref="AC4:AD4"/>
    <mergeCell ref="AG4:AH4"/>
    <mergeCell ref="AJ4:AK4"/>
    <mergeCell ref="AN4:AO4"/>
    <mergeCell ref="AQ4:AR4"/>
    <mergeCell ref="A1:A4"/>
    <mergeCell ref="C2:I3"/>
    <mergeCell ref="J2:P3"/>
    <mergeCell ref="Q2:W3"/>
    <mergeCell ref="X2:AD3"/>
    <mergeCell ref="AE2:AK3"/>
    <mergeCell ref="AL2:AR3"/>
  </mergeCells>
  <conditionalFormatting sqref="AC1 AC5:AC71">
    <cfRule type="expression" dxfId="5" priority="1">
      <formula>AC:AC&gt;=0</formula>
    </cfRule>
  </conditionalFormatting>
  <conditionalFormatting sqref="F7:F10 M7:M70 P7:P70 T7:T70 W7:W70 AA7:AA70 AD7:AD70 AH7:AH70 AK7:AK70 AO7:AO70 AR7:AR70 F13:F16 F19:F22 F25:F28 F31:F34 F37:F40 F43:F46 F49:F53 F55:F58 F61:F64 F67:F70">
    <cfRule type="cellIs" dxfId="5" priority="2" operator="equal">
      <formula>"▲"</formula>
    </cfRule>
  </conditionalFormatting>
  <conditionalFormatting sqref="F7:F10 M7:M70 P7:P70 T7:T70 W7:W70 AA7:AA70 AD7:AD70 AH7:AH70 AK7:AK70 AO7:AO70 AR7:AR70 F13:F16 F19:F22 F25:F28 F31:F34 F37:F40 F43:F46 F49:F53 F55:F58 F61:F64 F67:F70">
    <cfRule type="cellIs" dxfId="4" priority="3" operator="equal">
      <formula>"▼"</formula>
    </cfRule>
  </conditionalFormatting>
  <conditionalFormatting sqref="L5:L71 O7:O10 S7:S10 V7:V10 Z7:Z10 AC7:AC10 AG7:AG10 AJ7:AJ10 AN7:AN10 AQ7:AQ10 O13:O16 S13:S16 V13:V16 Z13:Z16 AC13:AC16 AG13:AG16 AJ13:AJ16 AN13:AN16 AQ13:AQ16 O19:O22 S19:S22 V19:V22 Z19:Z22 AC19:AC22 AG19:AG22 AJ19:AJ22 AN19:AN22 AQ19:AQ22 O25:O28 S25:S28 V25:V28 Z25:Z28 AC25:AC28 AG25:AG28 AJ25:AJ28 AN25:AN28 AQ25:AQ28 O31:O34 S31:S34 V31:V34 Z31:Z34 AC31:AC34 AG31:AG34 AJ31:AJ34 AN31:AN34 AQ31:AQ34 O37:O40 S37:S40 V37:V40 Z37:Z40 AC37:AC40 AG37:AG40 AJ37:AJ40 AN37:AN40 AQ37:AQ40 O43:O46 S43:S46 V43:V46 Z43:Z46 AC43:AC46 AG43:AG46 AJ43:AJ46 AN43:AN46 AQ43:AQ46 O49:O52 S49:S52 V49:V52 Z49:Z52 AC49:AC52 AG49:AG52 AJ49:AJ52 AN49:AN52 AQ49:AQ52 O55:O58 S55:S58 V55:V58 Z55:Z58 AC55:AC58 AG55:AG58 AJ55:AJ58 AN55:AN58 AQ55:AQ58 O61:O64 S61:S64 V61:V64 Z61:Z64 AC61:AC64 AG61:AG64 AJ61:AJ64 AN61:AN64 AQ61:AQ64 O67:O70 S67:S70 V67:V70 Z67:Z70 AC67:AC70 AG67:AG70 AJ67:AJ70 AN67:AN70 AQ67:AQ70">
    <cfRule type="expression" dxfId="5" priority="4">
      <formula>L:L&gt;=0</formula>
    </cfRule>
  </conditionalFormatting>
  <conditionalFormatting sqref="L5:L71 O7:O10 S7:S10 V7:V10 Z7:Z10 AC7:AC10 AG7:AG10 AJ7:AJ10 AN7:AN10 AQ7:AQ10 O13:O16 S13:S16 V13:V16 Z13:Z16 AC13:AC16 AG13:AG16 AJ13:AJ16 AN13:AN16 AQ13:AQ16 O19:O22 S19:S22 V19:V22 Z19:Z22 AC19:AC22 AG19:AG22 AJ19:AJ22 AN19:AN22 AQ19:AQ22 O25:O28 S25:S28 V25:V28 Z25:Z28 AC25:AC28 AG25:AG28 AJ25:AJ28 AN25:AN28 AQ25:AQ28 O31:O34 S31:S34 V31:V34 Z31:Z34 AC31:AC34 AG31:AG34 AJ31:AJ34 AN31:AN34 AQ31:AQ34 O37:O40 S37:S40 V37:V40 Z37:Z40 AC37:AC40 AG37:AG40 AJ37:AJ40 AN37:AN40 AQ37:AQ40 O43:O46 S43:S46 V43:V46 Z43:Z46 AC43:AC46 AG43:AG46 AJ43:AJ46 AN43:AN46 AQ43:AQ46 O49:O52 S49:S52 V49:V52 Z49:Z52 AC49:AC52 AG49:AG52 AJ49:AJ52 AN49:AN52 AQ49:AQ52 O55:O58 S55:S58 V55:V58 Z55:Z58 AC55:AC58 AG55:AG58 AJ55:AJ58 AN55:AN58 AQ55:AQ58 O61:O64 S61:S64 V61:V64 Z61:Z64 AC61:AC64 AG61:AG64 AJ61:AJ64 AN61:AN64 AQ61:AQ64 O67:O70 S67:S70 V67:V70 Z67:Z70 AC67:AC70 AG67:AG70 AJ67:AJ70 AN67:AN70 AQ67:AQ70">
    <cfRule type="expression" dxfId="4" priority="5">
      <formula>L:L&lt;0</formula>
    </cfRule>
  </conditionalFormatting>
  <conditionalFormatting sqref="O5:O71">
    <cfRule type="expression" dxfId="5" priority="6">
      <formula>O:O&gt;=0</formula>
    </cfRule>
  </conditionalFormatting>
  <conditionalFormatting sqref="O5:O71">
    <cfRule type="expression" dxfId="4" priority="7">
      <formula>O:O&lt;0</formula>
    </cfRule>
  </conditionalFormatting>
  <conditionalFormatting sqref="S5:S71 Z7:Z71 AC7:AC71 AG7:AG71 AJ7:AJ71 AN7:AN71 AQ7:AQ71">
    <cfRule type="expression" dxfId="5" priority="8">
      <formula>S:S&gt;=0</formula>
    </cfRule>
  </conditionalFormatting>
  <conditionalFormatting sqref="S5:S71 Z7:Z71 AC7:AC71 AG7:AG71 AJ7:AJ71 AN7:AN71 AQ7:AQ71">
    <cfRule type="expression" dxfId="4" priority="9">
      <formula>S:S&lt;0</formula>
    </cfRule>
  </conditionalFormatting>
  <conditionalFormatting sqref="V1 V5:V71">
    <cfRule type="expression" dxfId="5" priority="10">
      <formula>V:V&gt;=0</formula>
    </cfRule>
  </conditionalFormatting>
  <conditionalFormatting sqref="V1 V5:V71">
    <cfRule type="expression" dxfId="4" priority="11">
      <formula>V:V&lt;0</formula>
    </cfRule>
  </conditionalFormatting>
  <conditionalFormatting sqref="Z1 Z5:Z71">
    <cfRule type="expression" dxfId="5" priority="12">
      <formula>Z:Z&gt;=0</formula>
    </cfRule>
  </conditionalFormatting>
  <conditionalFormatting sqref="Z1 Z5:Z71">
    <cfRule type="expression" dxfId="4" priority="13">
      <formula>Z:Z&lt;0</formula>
    </cfRule>
  </conditionalFormatting>
  <conditionalFormatting sqref="AC1 AC5:AC71">
    <cfRule type="expression" dxfId="4" priority="14">
      <formula>AC:AC&lt;0</formula>
    </cfRule>
  </conditionalFormatting>
  <conditionalFormatting sqref="AG1 AG5:AG71">
    <cfRule type="expression" dxfId="5" priority="15">
      <formula>AG:AG&gt;=0</formula>
    </cfRule>
  </conditionalFormatting>
  <conditionalFormatting sqref="AG1 AG5:AG71">
    <cfRule type="expression" dxfId="4" priority="16">
      <formula>AG:AG&lt;0</formula>
    </cfRule>
  </conditionalFormatting>
  <conditionalFormatting sqref="AJ5:AJ71">
    <cfRule type="expression" dxfId="5" priority="17">
      <formula>AJ:AJ&gt;=0</formula>
    </cfRule>
  </conditionalFormatting>
  <conditionalFormatting sqref="AJ5:AJ71">
    <cfRule type="expression" dxfId="4" priority="18">
      <formula>AJ:AJ&lt;0</formula>
    </cfRule>
  </conditionalFormatting>
  <conditionalFormatting sqref="AN1 AN5:AN71">
    <cfRule type="expression" dxfId="5" priority="19">
      <formula>AN:AN&gt;=0</formula>
    </cfRule>
  </conditionalFormatting>
  <conditionalFormatting sqref="AN1 AN5:AN71">
    <cfRule type="expression" dxfId="4" priority="20">
      <formula>AN:AN&lt;0</formula>
    </cfRule>
  </conditionalFormatting>
  <conditionalFormatting sqref="AQ5:AQ71">
    <cfRule type="expression" dxfId="5" priority="21">
      <formula>AQ:AQ&gt;=0</formula>
    </cfRule>
  </conditionalFormatting>
  <conditionalFormatting sqref="AQ5:AQ71">
    <cfRule type="expression" dxfId="4" priority="22">
      <formula>AQ:AQ&lt;0</formula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 fitToPage="1"/>
  </sheetPr>
  <sheetViews>
    <sheetView showGridLines="0"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0" outlineLevelCol="1"/>
  <cols>
    <col collapsed="1" customWidth="1" min="1" max="1" width="19.57"/>
    <col customWidth="1" hidden="1" min="2" max="2" width="15.43" outlineLevel="1"/>
    <col collapsed="1" customWidth="1" min="3" max="3" width="27.0"/>
    <col customWidth="1" hidden="1" min="4" max="4" width="20.29" outlineLevel="1"/>
    <col customWidth="1" min="5" max="5" width="15.57"/>
    <col customWidth="1" min="6" max="6" width="9.57"/>
    <col customWidth="1" min="7" max="7" width="7.43"/>
    <col customWidth="1" min="8" max="8" width="15.57"/>
    <col customWidth="1" min="9" max="9" width="9.57"/>
    <col customWidth="1" min="10" max="10" width="7.43"/>
    <col customWidth="1" min="11" max="11" width="15.57"/>
    <col customWidth="1" min="12" max="12" width="9.57"/>
    <col customWidth="1" min="13" max="13" width="7.43"/>
    <col customWidth="1" min="14" max="14" width="15.57"/>
    <col customWidth="1" min="15" max="15" width="9.57"/>
    <col customWidth="1" min="16" max="16" width="7.43"/>
    <col customWidth="1" min="17" max="17" width="15.57"/>
    <col customWidth="1" min="18" max="18" width="9.57"/>
    <col customWidth="1" min="19" max="19" width="7.43"/>
    <col customWidth="1" min="20" max="20" width="15.57"/>
    <col customWidth="1" min="21" max="21" width="9.57"/>
    <col customWidth="1" min="22" max="22" width="7.43"/>
  </cols>
  <sheetData>
    <row r="1" ht="10.5" customHeight="1">
      <c r="A1" s="159" t="s">
        <v>210</v>
      </c>
      <c r="D1" s="160"/>
      <c r="E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</row>
    <row r="2">
      <c r="D2" s="160"/>
      <c r="E2" s="161" t="s">
        <v>185</v>
      </c>
      <c r="H2" s="161" t="s">
        <v>186</v>
      </c>
      <c r="K2" s="162" t="s">
        <v>211</v>
      </c>
      <c r="M2" s="163"/>
      <c r="N2" s="161" t="s">
        <v>188</v>
      </c>
      <c r="Q2" s="162" t="s">
        <v>189</v>
      </c>
      <c r="S2" s="163"/>
      <c r="T2" s="162" t="s">
        <v>190</v>
      </c>
      <c r="V2" s="163"/>
    </row>
    <row r="3" ht="10.5" customHeight="1">
      <c r="D3" s="164"/>
      <c r="E3" s="165" t="s">
        <v>212</v>
      </c>
      <c r="F3" s="166" t="s">
        <v>207</v>
      </c>
      <c r="G3" s="163"/>
      <c r="H3" s="165" t="s">
        <v>212</v>
      </c>
      <c r="I3" s="166" t="s">
        <v>207</v>
      </c>
      <c r="K3" s="165" t="s">
        <v>212</v>
      </c>
      <c r="L3" s="166" t="s">
        <v>207</v>
      </c>
      <c r="M3" s="163"/>
      <c r="N3" s="165" t="s">
        <v>212</v>
      </c>
      <c r="O3" s="166" t="s">
        <v>207</v>
      </c>
      <c r="Q3" s="165" t="s">
        <v>212</v>
      </c>
      <c r="R3" s="166" t="s">
        <v>207</v>
      </c>
      <c r="T3" s="165" t="s">
        <v>212</v>
      </c>
      <c r="U3" s="166" t="s">
        <v>207</v>
      </c>
      <c r="V3" s="163"/>
    </row>
    <row r="4">
      <c r="D4" s="164"/>
      <c r="E4" s="167"/>
      <c r="G4" s="163"/>
      <c r="H4" s="167"/>
      <c r="K4" s="167"/>
      <c r="M4" s="163"/>
      <c r="N4" s="167"/>
      <c r="Q4" s="167"/>
      <c r="T4" s="167"/>
      <c r="V4" s="163"/>
    </row>
    <row r="5">
      <c r="A5" s="168" t="s">
        <v>0</v>
      </c>
      <c r="B5" s="169" t="s">
        <v>1</v>
      </c>
      <c r="C5" s="169" t="s">
        <v>2</v>
      </c>
      <c r="D5" s="169" t="s">
        <v>3</v>
      </c>
      <c r="E5" s="170"/>
      <c r="G5" s="171"/>
      <c r="H5" s="172"/>
      <c r="I5" s="172"/>
      <c r="J5" s="172"/>
      <c r="K5" s="170"/>
      <c r="L5" s="172"/>
      <c r="M5" s="173"/>
      <c r="N5" s="172"/>
      <c r="O5" s="172"/>
      <c r="P5" s="172"/>
      <c r="Q5" s="170"/>
      <c r="R5" s="172"/>
      <c r="S5" s="173"/>
      <c r="T5" s="174"/>
      <c r="U5" s="175"/>
      <c r="V5" s="171"/>
    </row>
    <row r="6">
      <c r="A6" s="176" t="s">
        <v>9</v>
      </c>
      <c r="B6" s="149" t="s">
        <v>41</v>
      </c>
      <c r="C6" s="149" t="s">
        <v>42</v>
      </c>
      <c r="D6" s="177" t="s">
        <v>40</v>
      </c>
      <c r="E6" s="178">
        <f>IFERROR(VLOOKUP($B6, Январь_2025[[#ALL],[ID арендатора]:[Долг по аренде (руб)]], 8, FALSE),"нет данных")</f>
        <v>24670</v>
      </c>
      <c r="G6" s="179"/>
      <c r="H6" s="178">
        <f>IFERROR(VLOOKUP($B6, Февраль_2025[[#ALL],[ID арендатора]:[Долг по аренде (руб)]], 8, FALSE),"нет данных")</f>
        <v>0</v>
      </c>
      <c r="I6" s="180">
        <f t="shared" ref="I6:I84" si="1">IFERROR(IF(AND(E6=0,H6&lt;&gt;0),1,H6/E6-1),"")</f>
        <v>-1</v>
      </c>
      <c r="J6" s="181" t="str">
        <f t="shared" ref="J6:J84" si="2">IF(ISNUMBER(H6),IF(OR(H6&gt;E6,AND(H6=E6,E6&lt;&gt;0)),"📈",IF(H6&lt;E6, "📉", " ")),"")</f>
        <v>📉</v>
      </c>
      <c r="K6" s="178">
        <f>IFERROR(VLOOKUP($B6, Март_2025[[#ALL],[ID арендатора]:[Долг по аренде (руб)]], 8, FALSE),"нет данных")</f>
        <v>24670</v>
      </c>
      <c r="L6" s="180">
        <f t="shared" ref="L6:L84" si="3">IFERROR(IF(AND(H6=0,K6&lt;&gt;0),1,K6/H6-1),"")</f>
        <v>1</v>
      </c>
      <c r="M6" s="179" t="str">
        <f t="shared" ref="M6:M84" si="4">IF(ISNUMBER(K6),IF(OR(K6&gt;H6,AND(K6=H6,H6&lt;&gt;0)),"📈",IF(K6&lt;H6, "📉", " ")),"")</f>
        <v>📈</v>
      </c>
      <c r="N6" s="182">
        <f>IFERROR(VLOOKUP($B6, 'Апрель_2025'!$B$1:$I$80, 8, FALSE),"нет данных")</f>
        <v>24670</v>
      </c>
      <c r="O6" s="180">
        <f t="shared" ref="O6:O84" si="5">IFERROR(IF(AND(K6=0,N6&lt;&gt;0),1,N6/K6-1),"")</f>
        <v>0</v>
      </c>
      <c r="P6" s="181" t="str">
        <f t="shared" ref="P6:P84" si="6">IF(ISNUMBER(N6),IF(OR(N6&gt;K6,AND(N6=K6,K6&lt;&gt;0)),"📈",IF(N6&lt;K6, "📉", " ")),"")</f>
        <v>📈</v>
      </c>
      <c r="Q6" s="183">
        <f>IFERROR(VLOOKUP($B6, 'Май_2025'!$B$1:$I$80, 8, FALSE),"нет данных")</f>
        <v>24670</v>
      </c>
      <c r="R6" s="180">
        <f t="shared" ref="R6:R84" si="7">IFERROR(IF(AND(N6=0,Q6&lt;&gt;0),1,Q6/N6-1),"")</f>
        <v>0</v>
      </c>
      <c r="S6" s="181" t="str">
        <f t="shared" ref="S6:S84" si="8">IF(ISNUMBER(Q6),IF(OR(Q6&gt;N6,AND(Q6=N6,N6&lt;&gt;0)),"📈",IF(Q6&lt;N6, "📉", " ")),"")</f>
        <v>📈</v>
      </c>
      <c r="T6" s="184">
        <f>IFERROR(VLOOKUP($B6, 'Июнь_2025'!$B$1:$I$80, 8, FALSE),"нет данных")</f>
        <v>24670</v>
      </c>
      <c r="U6" s="180">
        <f t="shared" ref="U6:U84" si="9">IFERROR(IF(AND(Q6=0,T6&lt;&gt;0),1,T6/Q6-1),"")</f>
        <v>0</v>
      </c>
      <c r="V6" s="181" t="str">
        <f t="shared" ref="V6:V84" si="10">IF(ISNUMBER(T6),IF(OR(T6&gt;Q6,AND(T6=Q6,Q6&lt;&gt;0)),"📈",IF(T6&lt;Q6, "📉", " ")),"")</f>
        <v>📈</v>
      </c>
    </row>
    <row r="7">
      <c r="A7" s="176" t="s">
        <v>9</v>
      </c>
      <c r="B7" s="149" t="s">
        <v>96</v>
      </c>
      <c r="C7" s="185" t="s">
        <v>97</v>
      </c>
      <c r="D7" s="177" t="s">
        <v>93</v>
      </c>
      <c r="E7" s="178">
        <f>IFERROR(VLOOKUP($B7, Январь_2025[[#ALL],[ID арендатора]:[Долг по аренде (руб)]], 8, FALSE),"нет данных")</f>
        <v>400000</v>
      </c>
      <c r="G7" s="179"/>
      <c r="H7" s="178">
        <f>IFERROR(VLOOKUP($B7, Февраль_2025[[#ALL],[ID арендатора]:[Долг по аренде (руб)]], 8, FALSE),"нет данных")</f>
        <v>0</v>
      </c>
      <c r="I7" s="180">
        <f t="shared" si="1"/>
        <v>-1</v>
      </c>
      <c r="J7" s="181" t="str">
        <f t="shared" si="2"/>
        <v>📉</v>
      </c>
      <c r="K7" s="178">
        <f>IFERROR(VLOOKUP($B7, Март_2025[[#ALL],[ID арендатора]:[Долг по аренде (руб)]], 8, FALSE),"нет данных")</f>
        <v>0</v>
      </c>
      <c r="L7" s="180" t="str">
        <f t="shared" si="3"/>
        <v/>
      </c>
      <c r="M7" s="179" t="str">
        <f t="shared" si="4"/>
        <v> </v>
      </c>
      <c r="N7" s="182">
        <f>IFERROR(VLOOKUP($B7, 'Апрель_2025'!$B$1:$I$80, 8, FALSE),"нет данных")</f>
        <v>400000</v>
      </c>
      <c r="O7" s="180">
        <f t="shared" si="5"/>
        <v>1</v>
      </c>
      <c r="P7" s="181" t="str">
        <f t="shared" si="6"/>
        <v>📈</v>
      </c>
      <c r="Q7" s="183">
        <f>IFERROR(VLOOKUP($B7, 'Май_2025'!$B$1:$I$80, 8, FALSE),"нет данных")</f>
        <v>49000</v>
      </c>
      <c r="R7" s="180">
        <f t="shared" si="7"/>
        <v>-0.8775</v>
      </c>
      <c r="S7" s="181" t="str">
        <f t="shared" si="8"/>
        <v>📉</v>
      </c>
      <c r="T7" s="184">
        <f>IFERROR(VLOOKUP($B7, 'Июнь_2025'!$B$1:$I$80, 8, FALSE),"нет данных")</f>
        <v>10000</v>
      </c>
      <c r="U7" s="180">
        <f t="shared" si="9"/>
        <v>-0.7959183673</v>
      </c>
      <c r="V7" s="181" t="str">
        <f t="shared" si="10"/>
        <v>📉</v>
      </c>
    </row>
    <row r="8">
      <c r="A8" s="176" t="s">
        <v>9</v>
      </c>
      <c r="B8" s="149" t="s">
        <v>138</v>
      </c>
      <c r="C8" s="149" t="s">
        <v>139</v>
      </c>
      <c r="D8" s="177" t="s">
        <v>140</v>
      </c>
      <c r="E8" s="178">
        <f>IFERROR(VLOOKUP($B8, Январь_2025[[#ALL],[ID арендатора]:[Долг по аренде (руб)]], 8, FALSE),"нет данных")</f>
        <v>10000</v>
      </c>
      <c r="G8" s="179"/>
      <c r="H8" s="178">
        <f>IFERROR(VLOOKUP($B8, Февраль_2025[[#ALL],[ID арендатора]:[Долг по аренде (руб)]], 8, FALSE),"нет данных")</f>
        <v>0</v>
      </c>
      <c r="I8" s="180">
        <f t="shared" si="1"/>
        <v>-1</v>
      </c>
      <c r="J8" s="181" t="str">
        <f t="shared" si="2"/>
        <v>📉</v>
      </c>
      <c r="K8" s="178">
        <f>IFERROR(VLOOKUP($B8, Март_2025[[#ALL],[ID арендатора]:[Долг по аренде (руб)]], 8, FALSE),"нет данных")</f>
        <v>10000</v>
      </c>
      <c r="L8" s="180">
        <f t="shared" si="3"/>
        <v>1</v>
      </c>
      <c r="M8" s="179" t="str">
        <f t="shared" si="4"/>
        <v>📈</v>
      </c>
      <c r="N8" s="182">
        <f>IFERROR(VLOOKUP($B8, 'Апрель_2025'!$B$1:$I$80, 8, FALSE),"нет данных")</f>
        <v>10000</v>
      </c>
      <c r="O8" s="180">
        <f t="shared" si="5"/>
        <v>0</v>
      </c>
      <c r="P8" s="181" t="str">
        <f t="shared" si="6"/>
        <v>📈</v>
      </c>
      <c r="Q8" s="183">
        <f>IFERROR(VLOOKUP($B8, 'Май_2025'!$B$1:$I$80, 8, FALSE),"нет данных")</f>
        <v>10000</v>
      </c>
      <c r="R8" s="180">
        <f t="shared" si="7"/>
        <v>0</v>
      </c>
      <c r="S8" s="181" t="str">
        <f t="shared" si="8"/>
        <v>📈</v>
      </c>
      <c r="T8" s="184">
        <f>IFERROR(VLOOKUP($B8, 'Июнь_2025'!$B$1:$I$80, 8, FALSE),"нет данных")</f>
        <v>10000</v>
      </c>
      <c r="U8" s="180">
        <f t="shared" si="9"/>
        <v>0</v>
      </c>
      <c r="V8" s="181" t="str">
        <f t="shared" si="10"/>
        <v>📈</v>
      </c>
    </row>
    <row r="9">
      <c r="A9" s="176" t="s">
        <v>13</v>
      </c>
      <c r="B9" s="149" t="s">
        <v>27</v>
      </c>
      <c r="C9" s="149" t="s">
        <v>28</v>
      </c>
      <c r="D9" s="177" t="s">
        <v>24</v>
      </c>
      <c r="E9" s="178">
        <f>IFERROR(VLOOKUP($B9, Январь_2025[[#ALL],[ID арендатора]:[Долг по аренде (руб)]], 8, FALSE),"нет данных")</f>
        <v>30000</v>
      </c>
      <c r="G9" s="179"/>
      <c r="H9" s="178">
        <f>IFERROR(VLOOKUP($B9, Февраль_2025[[#ALL],[ID арендатора]:[Долг по аренде (руб)]], 8, FALSE),"нет данных")</f>
        <v>0</v>
      </c>
      <c r="I9" s="180">
        <f t="shared" si="1"/>
        <v>-1</v>
      </c>
      <c r="J9" s="181" t="str">
        <f t="shared" si="2"/>
        <v>📉</v>
      </c>
      <c r="K9" s="178">
        <f>IFERROR(VLOOKUP($B9, Март_2025[[#ALL],[ID арендатора]:[Долг по аренде (руб)]], 8, FALSE),"нет данных")</f>
        <v>4000</v>
      </c>
      <c r="L9" s="180">
        <f t="shared" si="3"/>
        <v>1</v>
      </c>
      <c r="M9" s="179" t="str">
        <f t="shared" si="4"/>
        <v>📈</v>
      </c>
      <c r="N9" s="182">
        <f>IFERROR(VLOOKUP($B9, 'Апрель_2025'!$B$1:$I$80, 8, FALSE),"нет данных")</f>
        <v>30000</v>
      </c>
      <c r="O9" s="180">
        <f t="shared" si="5"/>
        <v>6.5</v>
      </c>
      <c r="P9" s="181" t="str">
        <f t="shared" si="6"/>
        <v>📈</v>
      </c>
      <c r="Q9" s="183">
        <f>IFERROR(VLOOKUP($B9, 'Май_2025'!$B$1:$I$80, 8, FALSE),"нет данных")</f>
        <v>30000</v>
      </c>
      <c r="R9" s="180">
        <f t="shared" si="7"/>
        <v>0</v>
      </c>
      <c r="S9" s="181" t="str">
        <f t="shared" si="8"/>
        <v>📈</v>
      </c>
      <c r="T9" s="184">
        <f>IFERROR(VLOOKUP($B9, 'Июнь_2025'!$B$1:$I$80, 8, FALSE),"нет данных")</f>
        <v>30000</v>
      </c>
      <c r="U9" s="180">
        <f t="shared" si="9"/>
        <v>0</v>
      </c>
      <c r="V9" s="181" t="str">
        <f t="shared" si="10"/>
        <v>📈</v>
      </c>
    </row>
    <row r="10">
      <c r="A10" s="176" t="s">
        <v>13</v>
      </c>
      <c r="B10" s="149" t="s">
        <v>45</v>
      </c>
      <c r="C10" s="185" t="s">
        <v>46</v>
      </c>
      <c r="D10" s="177" t="s">
        <v>40</v>
      </c>
      <c r="E10" s="178">
        <f>IFERROR(VLOOKUP($B10, Январь_2025[[#ALL],[ID арендатора]:[Долг по аренде (руб)]], 8, FALSE),"нет данных")</f>
        <v>120180</v>
      </c>
      <c r="G10" s="179"/>
      <c r="H10" s="178">
        <f>IFERROR(VLOOKUP($B10, Февраль_2025[[#ALL],[ID арендатора]:[Долг по аренде (руб)]], 8, FALSE),"нет данных")</f>
        <v>0</v>
      </c>
      <c r="I10" s="180">
        <f t="shared" si="1"/>
        <v>-1</v>
      </c>
      <c r="J10" s="181" t="str">
        <f t="shared" si="2"/>
        <v>📉</v>
      </c>
      <c r="K10" s="178">
        <f>IFERROR(VLOOKUP($B10, Март_2025[[#ALL],[ID арендатора]:[Долг по аренде (руб)]], 8, FALSE),"нет данных")</f>
        <v>120180</v>
      </c>
      <c r="L10" s="180">
        <f t="shared" si="3"/>
        <v>1</v>
      </c>
      <c r="M10" s="179" t="str">
        <f t="shared" si="4"/>
        <v>📈</v>
      </c>
      <c r="N10" s="182">
        <f>IFERROR(VLOOKUP($B10, 'Апрель_2025'!$B$1:$I$80, 8, FALSE),"нет данных")</f>
        <v>120180</v>
      </c>
      <c r="O10" s="180">
        <f t="shared" si="5"/>
        <v>0</v>
      </c>
      <c r="P10" s="181" t="str">
        <f t="shared" si="6"/>
        <v>📈</v>
      </c>
      <c r="Q10" s="183">
        <f>IFERROR(VLOOKUP($B10, 'Май_2025'!$B$1:$I$80, 8, FALSE),"нет данных")</f>
        <v>12400</v>
      </c>
      <c r="R10" s="180">
        <f t="shared" si="7"/>
        <v>-0.8968214345</v>
      </c>
      <c r="S10" s="181" t="str">
        <f t="shared" si="8"/>
        <v>📉</v>
      </c>
      <c r="T10" s="184">
        <f>IFERROR(VLOOKUP($B10, 'Июнь_2025'!$B$1:$I$80, 8, FALSE),"нет данных")</f>
        <v>16300</v>
      </c>
      <c r="U10" s="180">
        <f t="shared" si="9"/>
        <v>0.314516129</v>
      </c>
      <c r="V10" s="181" t="str">
        <f t="shared" si="10"/>
        <v>📈</v>
      </c>
    </row>
    <row r="11">
      <c r="A11" s="176" t="s">
        <v>19</v>
      </c>
      <c r="B11" s="149" t="s">
        <v>53</v>
      </c>
      <c r="C11" s="185" t="s">
        <v>54</v>
      </c>
      <c r="D11" s="177" t="s">
        <v>40</v>
      </c>
      <c r="E11" s="178">
        <f>IFERROR(VLOOKUP($B11, Январь_2025[[#ALL],[ID арендатора]:[Долг по аренде (руб)]], 8, FALSE),"нет данных")</f>
        <v>11900</v>
      </c>
      <c r="G11" s="179"/>
      <c r="H11" s="178">
        <f>IFERROR(VLOOKUP($B11, Февраль_2025[[#ALL],[ID арендатора]:[Долг по аренде (руб)]], 8, FALSE),"нет данных")</f>
        <v>0</v>
      </c>
      <c r="I11" s="180">
        <f t="shared" si="1"/>
        <v>-1</v>
      </c>
      <c r="J11" s="181" t="str">
        <f t="shared" si="2"/>
        <v>📉</v>
      </c>
      <c r="K11" s="178">
        <f>IFERROR(VLOOKUP($B11, Март_2025[[#ALL],[ID арендатора]:[Долг по аренде (руб)]], 8, FALSE),"нет данных")</f>
        <v>11900</v>
      </c>
      <c r="L11" s="180">
        <f t="shared" si="3"/>
        <v>1</v>
      </c>
      <c r="M11" s="179" t="str">
        <f t="shared" si="4"/>
        <v>📈</v>
      </c>
      <c r="N11" s="182">
        <f>IFERROR(VLOOKUP($B11, 'Апрель_2025'!$B$1:$I$80, 8, FALSE),"нет данных")</f>
        <v>11900</v>
      </c>
      <c r="O11" s="180">
        <f t="shared" si="5"/>
        <v>0</v>
      </c>
      <c r="P11" s="181" t="str">
        <f t="shared" si="6"/>
        <v>📈</v>
      </c>
      <c r="Q11" s="183">
        <f>IFERROR(VLOOKUP($B11, 'Май_2025'!$B$1:$I$80, 8, FALSE),"нет данных")</f>
        <v>11900</v>
      </c>
      <c r="R11" s="180">
        <f t="shared" si="7"/>
        <v>0</v>
      </c>
      <c r="S11" s="181" t="str">
        <f t="shared" si="8"/>
        <v>📈</v>
      </c>
      <c r="T11" s="184">
        <f>IFERROR(VLOOKUP($B11, 'Июнь_2025'!$B$1:$I$80, 8, FALSE),"нет данных")</f>
        <v>11900</v>
      </c>
      <c r="U11" s="180">
        <f t="shared" si="9"/>
        <v>0</v>
      </c>
      <c r="V11" s="181" t="str">
        <f t="shared" si="10"/>
        <v>📈</v>
      </c>
    </row>
    <row r="12">
      <c r="A12" s="176" t="s">
        <v>19</v>
      </c>
      <c r="B12" s="149" t="s">
        <v>85</v>
      </c>
      <c r="C12" s="149" t="s">
        <v>86</v>
      </c>
      <c r="D12" s="177" t="s">
        <v>65</v>
      </c>
      <c r="E12" s="178">
        <f>IFERROR(VLOOKUP($B12, Январь_2025[[#ALL],[ID арендатора]:[Долг по аренде (руб)]], 8, FALSE),"нет данных")</f>
        <v>90000</v>
      </c>
      <c r="G12" s="179"/>
      <c r="H12" s="178">
        <f>IFERROR(VLOOKUP($B12, Февраль_2025[[#ALL],[ID арендатора]:[Долг по аренде (руб)]], 8, FALSE),"нет данных")</f>
        <v>0</v>
      </c>
      <c r="I12" s="180">
        <f t="shared" si="1"/>
        <v>-1</v>
      </c>
      <c r="J12" s="181" t="str">
        <f t="shared" si="2"/>
        <v>📉</v>
      </c>
      <c r="K12" s="178">
        <f>IFERROR(VLOOKUP($B12, Март_2025[[#ALL],[ID арендатора]:[Долг по аренде (руб)]], 8, FALSE),"нет данных")</f>
        <v>90000</v>
      </c>
      <c r="L12" s="180">
        <f t="shared" si="3"/>
        <v>1</v>
      </c>
      <c r="M12" s="179" t="str">
        <f t="shared" si="4"/>
        <v>📈</v>
      </c>
      <c r="N12" s="182">
        <f>IFERROR(VLOOKUP($B12, 'Апрель_2025'!$B$1:$I$80, 8, FALSE),"нет данных")</f>
        <v>90000</v>
      </c>
      <c r="O12" s="180">
        <f t="shared" si="5"/>
        <v>0</v>
      </c>
      <c r="P12" s="181" t="str">
        <f t="shared" si="6"/>
        <v>📈</v>
      </c>
      <c r="Q12" s="183">
        <f>IFERROR(VLOOKUP($B12, 'Май_2025'!$B$1:$I$80, 8, FALSE),"нет данных")</f>
        <v>90000</v>
      </c>
      <c r="R12" s="180">
        <f t="shared" si="7"/>
        <v>0</v>
      </c>
      <c r="S12" s="181" t="str">
        <f t="shared" si="8"/>
        <v>📈</v>
      </c>
      <c r="T12" s="184">
        <f>IFERROR(VLOOKUP($B12, 'Июнь_2025'!$B$1:$I$80, 8, FALSE),"нет данных")</f>
        <v>90000</v>
      </c>
      <c r="U12" s="180">
        <f t="shared" si="9"/>
        <v>0</v>
      </c>
      <c r="V12" s="181" t="str">
        <f t="shared" si="10"/>
        <v>📈</v>
      </c>
    </row>
    <row r="13">
      <c r="A13" s="176" t="s">
        <v>19</v>
      </c>
      <c r="B13" s="149" t="s">
        <v>126</v>
      </c>
      <c r="C13" s="149" t="s">
        <v>127</v>
      </c>
      <c r="D13" s="177" t="s">
        <v>121</v>
      </c>
      <c r="E13" s="178">
        <f>IFERROR(VLOOKUP($B13, Январь_2025[[#ALL],[ID арендатора]:[Долг по аренде (руб)]], 8, FALSE),"нет данных")</f>
        <v>70000</v>
      </c>
      <c r="G13" s="179"/>
      <c r="H13" s="178">
        <f>IFERROR(VLOOKUP($B13, Февраль_2025[[#ALL],[ID арендатора]:[Долг по аренде (руб)]], 8, FALSE),"нет данных")</f>
        <v>0</v>
      </c>
      <c r="I13" s="180">
        <f t="shared" si="1"/>
        <v>-1</v>
      </c>
      <c r="J13" s="181" t="str">
        <f t="shared" si="2"/>
        <v>📉</v>
      </c>
      <c r="K13" s="178">
        <f>IFERROR(VLOOKUP($B13, Март_2025[[#ALL],[ID арендатора]:[Долг по аренде (руб)]], 8, FALSE),"нет данных")</f>
        <v>70000</v>
      </c>
      <c r="L13" s="180">
        <f t="shared" si="3"/>
        <v>1</v>
      </c>
      <c r="M13" s="179" t="str">
        <f t="shared" si="4"/>
        <v>📈</v>
      </c>
      <c r="N13" s="182">
        <f>IFERROR(VLOOKUP($B13, 'Апрель_2025'!$B$1:$I$80, 8, FALSE),"нет данных")</f>
        <v>70000</v>
      </c>
      <c r="O13" s="180">
        <f t="shared" si="5"/>
        <v>0</v>
      </c>
      <c r="P13" s="181" t="str">
        <f t="shared" si="6"/>
        <v>📈</v>
      </c>
      <c r="Q13" s="183">
        <f>IFERROR(VLOOKUP($B13, 'Май_2025'!$B$1:$I$80, 8, FALSE),"нет данных")</f>
        <v>0</v>
      </c>
      <c r="R13" s="180">
        <f t="shared" si="7"/>
        <v>-1</v>
      </c>
      <c r="S13" s="181" t="str">
        <f t="shared" si="8"/>
        <v>📉</v>
      </c>
      <c r="T13" s="184">
        <f>IFERROR(VLOOKUP($B13, 'Июнь_2025'!$B$1:$I$80, 8, FALSE),"нет данных")</f>
        <v>70000</v>
      </c>
      <c r="U13" s="180">
        <f t="shared" si="9"/>
        <v>1</v>
      </c>
      <c r="V13" s="181" t="str">
        <f t="shared" si="10"/>
        <v>📈</v>
      </c>
    </row>
    <row r="14">
      <c r="A14" s="176" t="s">
        <v>19</v>
      </c>
      <c r="B14" s="149" t="s">
        <v>87</v>
      </c>
      <c r="C14" s="185" t="s">
        <v>69</v>
      </c>
      <c r="D14" s="177" t="s">
        <v>65</v>
      </c>
      <c r="E14" s="178">
        <f>IFERROR(VLOOKUP($B14, Январь_2025[[#ALL],[ID арендатора]:[Долг по аренде (руб)]], 8, FALSE),"нет данных")</f>
        <v>300000</v>
      </c>
      <c r="G14" s="179"/>
      <c r="H14" s="178">
        <f>IFERROR(VLOOKUP($B14, Февраль_2025[[#ALL],[ID арендатора]:[Долг по аренде (руб)]], 8, FALSE),"нет данных")</f>
        <v>10000</v>
      </c>
      <c r="I14" s="180">
        <f t="shared" si="1"/>
        <v>-0.9666666667</v>
      </c>
      <c r="J14" s="181" t="str">
        <f t="shared" si="2"/>
        <v>📉</v>
      </c>
      <c r="K14" s="178">
        <f>IFERROR(VLOOKUP($B14, Март_2025[[#ALL],[ID арендатора]:[Долг по аренде (руб)]], 8, FALSE),"нет данных")</f>
        <v>300000</v>
      </c>
      <c r="L14" s="180">
        <f t="shared" si="3"/>
        <v>29</v>
      </c>
      <c r="M14" s="179" t="str">
        <f t="shared" si="4"/>
        <v>📈</v>
      </c>
      <c r="N14" s="182">
        <f>IFERROR(VLOOKUP($B14, 'Апрель_2025'!$B$1:$I$80, 8, FALSE),"нет данных")</f>
        <v>300000</v>
      </c>
      <c r="O14" s="180">
        <f t="shared" si="5"/>
        <v>0</v>
      </c>
      <c r="P14" s="181" t="str">
        <f t="shared" si="6"/>
        <v>📈</v>
      </c>
      <c r="Q14" s="183">
        <f>IFERROR(VLOOKUP($B14, 'Май_2025'!$B$1:$I$80, 8, FALSE),"нет данных")</f>
        <v>40000</v>
      </c>
      <c r="R14" s="180">
        <f t="shared" si="7"/>
        <v>-0.8666666667</v>
      </c>
      <c r="S14" s="181" t="str">
        <f t="shared" si="8"/>
        <v>📉</v>
      </c>
      <c r="T14" s="184">
        <f>IFERROR(VLOOKUP($B14, 'Июнь_2025'!$B$1:$I$80, 8, FALSE),"нет данных")</f>
        <v>30000</v>
      </c>
      <c r="U14" s="180">
        <f t="shared" si="9"/>
        <v>-0.25</v>
      </c>
      <c r="V14" s="181" t="str">
        <f t="shared" si="10"/>
        <v>📉</v>
      </c>
    </row>
    <row r="15">
      <c r="A15" s="176" t="s">
        <v>16</v>
      </c>
      <c r="B15" s="149" t="s">
        <v>112</v>
      </c>
      <c r="C15" s="185" t="s">
        <v>113</v>
      </c>
      <c r="D15" s="177" t="s">
        <v>93</v>
      </c>
      <c r="E15" s="178">
        <f>IFERROR(VLOOKUP($B15, Январь_2025[[#ALL],[ID арендатора]:[Долг по аренде (руб)]], 8, FALSE),"нет данных")</f>
        <v>24000</v>
      </c>
      <c r="G15" s="179"/>
      <c r="H15" s="178">
        <f>IFERROR(VLOOKUP($B15, Февраль_2025[[#ALL],[ID арендатора]:[Долг по аренде (руб)]], 8, FALSE),"нет данных")</f>
        <v>2000</v>
      </c>
      <c r="I15" s="180">
        <f t="shared" si="1"/>
        <v>-0.9166666667</v>
      </c>
      <c r="J15" s="181" t="str">
        <f t="shared" si="2"/>
        <v>📉</v>
      </c>
      <c r="K15" s="178">
        <f>IFERROR(VLOOKUP($B15, Март_2025[[#ALL],[ID арендатора]:[Долг по аренде (руб)]], 8, FALSE),"нет данных")</f>
        <v>24000</v>
      </c>
      <c r="L15" s="180">
        <f t="shared" si="3"/>
        <v>11</v>
      </c>
      <c r="M15" s="179" t="str">
        <f t="shared" si="4"/>
        <v>📈</v>
      </c>
      <c r="N15" s="182">
        <f>IFERROR(VLOOKUP($B15, 'Апрель_2025'!$B$1:$I$80, 8, FALSE),"нет данных")</f>
        <v>24000</v>
      </c>
      <c r="O15" s="180">
        <f t="shared" si="5"/>
        <v>0</v>
      </c>
      <c r="P15" s="181" t="str">
        <f t="shared" si="6"/>
        <v>📈</v>
      </c>
      <c r="Q15" s="183">
        <f>IFERROR(VLOOKUP($B15, 'Май_2025'!$B$1:$I$80, 8, FALSE),"нет данных")</f>
        <v>24000</v>
      </c>
      <c r="R15" s="180">
        <f t="shared" si="7"/>
        <v>0</v>
      </c>
      <c r="S15" s="181" t="str">
        <f t="shared" si="8"/>
        <v>📈</v>
      </c>
      <c r="T15" s="184">
        <f>IFERROR(VLOOKUP($B15, 'Июнь_2025'!$B$1:$I$80, 8, FALSE),"нет данных")</f>
        <v>4000</v>
      </c>
      <c r="U15" s="180">
        <f t="shared" si="9"/>
        <v>-0.8333333333</v>
      </c>
      <c r="V15" s="181" t="str">
        <f t="shared" si="10"/>
        <v>📉</v>
      </c>
    </row>
    <row r="16">
      <c r="A16" s="176" t="s">
        <v>19</v>
      </c>
      <c r="B16" s="149" t="s">
        <v>145</v>
      </c>
      <c r="C16" s="149" t="s">
        <v>146</v>
      </c>
      <c r="D16" s="177" t="s">
        <v>140</v>
      </c>
      <c r="E16" s="178">
        <f>IFERROR(VLOOKUP($B16, Январь_2025[[#ALL],[ID арендатора]:[Долг по аренде (руб)]], 8, FALSE),"нет данных")</f>
        <v>40000</v>
      </c>
      <c r="G16" s="179"/>
      <c r="H16" s="178">
        <f>IFERROR(VLOOKUP($B16, Февраль_2025[[#ALL],[ID арендатора]:[Долг по аренде (руб)]], 8, FALSE),"нет данных")</f>
        <v>5000</v>
      </c>
      <c r="I16" s="180">
        <f t="shared" si="1"/>
        <v>-0.875</v>
      </c>
      <c r="J16" s="181" t="str">
        <f t="shared" si="2"/>
        <v>📉</v>
      </c>
      <c r="K16" s="178">
        <f>IFERROR(VLOOKUP($B16, Март_2025[[#ALL],[ID арендатора]:[Долг по аренде (руб)]], 8, FALSE),"нет данных")</f>
        <v>40000</v>
      </c>
      <c r="L16" s="180">
        <f t="shared" si="3"/>
        <v>7</v>
      </c>
      <c r="M16" s="179" t="str">
        <f t="shared" si="4"/>
        <v>📈</v>
      </c>
      <c r="N16" s="182">
        <f>IFERROR(VLOOKUP($B16, 'Апрель_2025'!$B$1:$I$80, 8, FALSE),"нет данных")</f>
        <v>40000</v>
      </c>
      <c r="O16" s="180">
        <f t="shared" si="5"/>
        <v>0</v>
      </c>
      <c r="P16" s="181" t="str">
        <f t="shared" si="6"/>
        <v>📈</v>
      </c>
      <c r="Q16" s="183">
        <f>IFERROR(VLOOKUP($B16, 'Май_2025'!$B$1:$I$80, 8, FALSE),"нет данных")</f>
        <v>40000</v>
      </c>
      <c r="R16" s="180">
        <f t="shared" si="7"/>
        <v>0</v>
      </c>
      <c r="S16" s="181" t="str">
        <f t="shared" si="8"/>
        <v>📈</v>
      </c>
      <c r="T16" s="184">
        <f>IFERROR(VLOOKUP($B16, 'Июнь_2025'!$B$1:$I$80, 8, FALSE),"нет данных")</f>
        <v>40000</v>
      </c>
      <c r="U16" s="180">
        <f t="shared" si="9"/>
        <v>0</v>
      </c>
      <c r="V16" s="181" t="str">
        <f t="shared" si="10"/>
        <v>📈</v>
      </c>
    </row>
    <row r="17">
      <c r="A17" s="176" t="s">
        <v>13</v>
      </c>
      <c r="B17" s="149" t="s">
        <v>43</v>
      </c>
      <c r="C17" s="149" t="s">
        <v>44</v>
      </c>
      <c r="D17" s="177" t="s">
        <v>40</v>
      </c>
      <c r="E17" s="178">
        <f>IFERROR(VLOOKUP($B17, Январь_2025[[#ALL],[ID арендатора]:[Долг по аренде (руб)]], 8, FALSE),"нет данных")</f>
        <v>120000</v>
      </c>
      <c r="G17" s="179"/>
      <c r="H17" s="178">
        <f>IFERROR(VLOOKUP($B17, Февраль_2025[[#ALL],[ID арендатора]:[Долг по аренде (руб)]], 8, FALSE),"нет данных")</f>
        <v>20000</v>
      </c>
      <c r="I17" s="180">
        <f t="shared" si="1"/>
        <v>-0.8333333333</v>
      </c>
      <c r="J17" s="181" t="str">
        <f t="shared" si="2"/>
        <v>📉</v>
      </c>
      <c r="K17" s="178">
        <f>IFERROR(VLOOKUP($B17, Март_2025[[#ALL],[ID арендатора]:[Долг по аренде (руб)]], 8, FALSE),"нет данных")</f>
        <v>0</v>
      </c>
      <c r="L17" s="180">
        <f t="shared" si="3"/>
        <v>-1</v>
      </c>
      <c r="M17" s="179" t="str">
        <f t="shared" si="4"/>
        <v>📉</v>
      </c>
      <c r="N17" s="182">
        <f>IFERROR(VLOOKUP($B17, 'Апрель_2025'!$B$1:$I$80, 8, FALSE),"нет данных")</f>
        <v>120000</v>
      </c>
      <c r="O17" s="180">
        <f t="shared" si="5"/>
        <v>1</v>
      </c>
      <c r="P17" s="181" t="str">
        <f t="shared" si="6"/>
        <v>📈</v>
      </c>
      <c r="Q17" s="183">
        <f>IFERROR(VLOOKUP($B17, 'Май_2025'!$B$1:$I$80, 8, FALSE),"нет данных")</f>
        <v>120000</v>
      </c>
      <c r="R17" s="180">
        <f t="shared" si="7"/>
        <v>0</v>
      </c>
      <c r="S17" s="181" t="str">
        <f t="shared" si="8"/>
        <v>📈</v>
      </c>
      <c r="T17" s="184">
        <f>IFERROR(VLOOKUP($B17, 'Июнь_2025'!$B$1:$I$80, 8, FALSE),"нет данных")</f>
        <v>90000</v>
      </c>
      <c r="U17" s="180">
        <f t="shared" si="9"/>
        <v>-0.25</v>
      </c>
      <c r="V17" s="181" t="str">
        <f t="shared" si="10"/>
        <v>📉</v>
      </c>
    </row>
    <row r="18">
      <c r="A18" s="176" t="s">
        <v>16</v>
      </c>
      <c r="B18" s="149" t="s">
        <v>109</v>
      </c>
      <c r="C18" s="185" t="s">
        <v>97</v>
      </c>
      <c r="D18" s="177" t="s">
        <v>93</v>
      </c>
      <c r="E18" s="178">
        <f>IFERROR(VLOOKUP($B18, Январь_2025[[#ALL],[ID арендатора]:[Долг по аренде (руб)]], 8, FALSE),"нет данных")</f>
        <v>300000</v>
      </c>
      <c r="G18" s="179"/>
      <c r="H18" s="178">
        <f>IFERROR(VLOOKUP($B18, Февраль_2025[[#ALL],[ID арендатора]:[Долг по аренде (руб)]], 8, FALSE),"нет данных")</f>
        <v>60000</v>
      </c>
      <c r="I18" s="180">
        <f t="shared" si="1"/>
        <v>-0.8</v>
      </c>
      <c r="J18" s="181" t="str">
        <f t="shared" si="2"/>
        <v>📉</v>
      </c>
      <c r="K18" s="178">
        <f>IFERROR(VLOOKUP($B18, Март_2025[[#ALL],[ID арендатора]:[Долг по аренде (руб)]], 8, FALSE),"нет данных")</f>
        <v>16000</v>
      </c>
      <c r="L18" s="180">
        <f t="shared" si="3"/>
        <v>-0.7333333333</v>
      </c>
      <c r="M18" s="179" t="str">
        <f t="shared" si="4"/>
        <v>📉</v>
      </c>
      <c r="N18" s="182">
        <f>IFERROR(VLOOKUP($B18, 'Апрель_2025'!$B$1:$I$80, 8, FALSE),"нет данных")</f>
        <v>300000</v>
      </c>
      <c r="O18" s="180">
        <f t="shared" si="5"/>
        <v>17.75</v>
      </c>
      <c r="P18" s="181" t="str">
        <f t="shared" si="6"/>
        <v>📈</v>
      </c>
      <c r="Q18" s="183">
        <f>IFERROR(VLOOKUP($B18, 'Май_2025'!$B$1:$I$80, 8, FALSE),"нет данных")</f>
        <v>78000</v>
      </c>
      <c r="R18" s="180">
        <f t="shared" si="7"/>
        <v>-0.74</v>
      </c>
      <c r="S18" s="181" t="str">
        <f t="shared" si="8"/>
        <v>📉</v>
      </c>
      <c r="T18" s="184">
        <f>IFERROR(VLOOKUP($B18, 'Июнь_2025'!$B$1:$I$80, 8, FALSE),"нет данных")</f>
        <v>0</v>
      </c>
      <c r="U18" s="180">
        <f t="shared" si="9"/>
        <v>-1</v>
      </c>
      <c r="V18" s="181" t="str">
        <f t="shared" si="10"/>
        <v>📉</v>
      </c>
    </row>
    <row r="19">
      <c r="A19" s="176" t="s">
        <v>9</v>
      </c>
      <c r="B19" s="149" t="s">
        <v>98</v>
      </c>
      <c r="C19" s="185" t="s">
        <v>99</v>
      </c>
      <c r="D19" s="177" t="s">
        <v>93</v>
      </c>
      <c r="E19" s="178">
        <f>IFERROR(VLOOKUP($B19, Январь_2025[[#ALL],[ID арендатора]:[Долг по аренде (руб)]], 8, FALSE),"нет данных")</f>
        <v>50000</v>
      </c>
      <c r="G19" s="179"/>
      <c r="H19" s="178">
        <f>IFERROR(VLOOKUP($B19, Февраль_2025[[#ALL],[ID арендатора]:[Долг по аренде (руб)]], 8, FALSE),"нет данных")</f>
        <v>15000</v>
      </c>
      <c r="I19" s="180">
        <f t="shared" si="1"/>
        <v>-0.7</v>
      </c>
      <c r="J19" s="181" t="str">
        <f t="shared" si="2"/>
        <v>📉</v>
      </c>
      <c r="K19" s="178">
        <f>IFERROR(VLOOKUP($B19, Март_2025[[#ALL],[ID арендатора]:[Долг по аренде (руб)]], 8, FALSE),"нет данных")</f>
        <v>10000</v>
      </c>
      <c r="L19" s="180">
        <f t="shared" si="3"/>
        <v>-0.3333333333</v>
      </c>
      <c r="M19" s="179" t="str">
        <f t="shared" si="4"/>
        <v>📉</v>
      </c>
      <c r="N19" s="182">
        <f>IFERROR(VLOOKUP($B19, 'Апрель_2025'!$B$1:$I$80, 8, FALSE),"нет данных")</f>
        <v>50000</v>
      </c>
      <c r="O19" s="180">
        <f t="shared" si="5"/>
        <v>4</v>
      </c>
      <c r="P19" s="181" t="str">
        <f t="shared" si="6"/>
        <v>📈</v>
      </c>
      <c r="Q19" s="183">
        <f>IFERROR(VLOOKUP($B19, 'Май_2025'!$B$1:$I$80, 8, FALSE),"нет данных")</f>
        <v>50000</v>
      </c>
      <c r="R19" s="180">
        <f t="shared" si="7"/>
        <v>0</v>
      </c>
      <c r="S19" s="181" t="str">
        <f t="shared" si="8"/>
        <v>📈</v>
      </c>
      <c r="T19" s="184">
        <f>IFERROR(VLOOKUP($B19, 'Июнь_2025'!$B$1:$I$80, 8, FALSE),"нет данных")</f>
        <v>0</v>
      </c>
      <c r="U19" s="180">
        <f t="shared" si="9"/>
        <v>-1</v>
      </c>
      <c r="V19" s="181" t="str">
        <f t="shared" si="10"/>
        <v>📉</v>
      </c>
    </row>
    <row r="20">
      <c r="A20" s="176" t="s">
        <v>9</v>
      </c>
      <c r="B20" s="149" t="s">
        <v>70</v>
      </c>
      <c r="C20" s="185" t="s">
        <v>71</v>
      </c>
      <c r="D20" s="177" t="s">
        <v>65</v>
      </c>
      <c r="E20" s="178">
        <f>IFERROR(VLOOKUP($B20, Январь_2025[[#ALL],[ID арендатора]:[Долг по аренде (руб)]], 8, FALSE),"нет данных")</f>
        <v>45000</v>
      </c>
      <c r="G20" s="179"/>
      <c r="H20" s="178">
        <f>IFERROR(VLOOKUP($B20, Февраль_2025[[#ALL],[ID арендатора]:[Долг по аренде (руб)]], 8, FALSE),"нет данных")</f>
        <v>15000</v>
      </c>
      <c r="I20" s="180">
        <f t="shared" si="1"/>
        <v>-0.6666666667</v>
      </c>
      <c r="J20" s="181" t="str">
        <f t="shared" si="2"/>
        <v>📉</v>
      </c>
      <c r="K20" s="178">
        <f>IFERROR(VLOOKUP($B20, Март_2025[[#ALL],[ID арендатора]:[Долг по аренде (руб)]], 8, FALSE),"нет данных")</f>
        <v>45000</v>
      </c>
      <c r="L20" s="180">
        <f t="shared" si="3"/>
        <v>2</v>
      </c>
      <c r="M20" s="179" t="str">
        <f t="shared" si="4"/>
        <v>📈</v>
      </c>
      <c r="N20" s="182">
        <f>IFERROR(VLOOKUP($B20, 'Апрель_2025'!$B$1:$I$80, 8, FALSE),"нет данных")</f>
        <v>45000</v>
      </c>
      <c r="O20" s="180">
        <f t="shared" si="5"/>
        <v>0</v>
      </c>
      <c r="P20" s="181" t="str">
        <f t="shared" si="6"/>
        <v>📈</v>
      </c>
      <c r="Q20" s="183">
        <f>IFERROR(VLOOKUP($B20, 'Май_2025'!$B$1:$I$80, 8, FALSE),"нет данных")</f>
        <v>45000</v>
      </c>
      <c r="R20" s="180">
        <f t="shared" si="7"/>
        <v>0</v>
      </c>
      <c r="S20" s="181" t="str">
        <f t="shared" si="8"/>
        <v>📈</v>
      </c>
      <c r="T20" s="184">
        <f>IFERROR(VLOOKUP($B20, 'Июнь_2025'!$B$1:$I$80, 8, FALSE),"нет данных")</f>
        <v>45000</v>
      </c>
      <c r="U20" s="180">
        <f t="shared" si="9"/>
        <v>0</v>
      </c>
      <c r="V20" s="181" t="str">
        <f t="shared" si="10"/>
        <v>📈</v>
      </c>
    </row>
    <row r="21">
      <c r="A21" s="176" t="s">
        <v>13</v>
      </c>
      <c r="B21" s="149" t="s">
        <v>100</v>
      </c>
      <c r="C21" s="149" t="s">
        <v>101</v>
      </c>
      <c r="D21" s="177" t="s">
        <v>93</v>
      </c>
      <c r="E21" s="178">
        <f>IFERROR(VLOOKUP($B21, Январь_2025[[#ALL],[ID арендатора]:[Долг по аренде (руб)]], 8, FALSE),"нет данных")</f>
        <v>200000</v>
      </c>
      <c r="G21" s="179"/>
      <c r="H21" s="178">
        <f>IFERROR(VLOOKUP($B21, Февраль_2025[[#ALL],[ID арендатора]:[Долг по аренде (руб)]], 8, FALSE),"нет данных")</f>
        <v>80000</v>
      </c>
      <c r="I21" s="180">
        <f t="shared" si="1"/>
        <v>-0.6</v>
      </c>
      <c r="J21" s="181" t="str">
        <f t="shared" si="2"/>
        <v>📉</v>
      </c>
      <c r="K21" s="178">
        <f>IFERROR(VLOOKUP($B21, Март_2025[[#ALL],[ID арендатора]:[Долг по аренде (руб)]], 8, FALSE),"нет данных")</f>
        <v>23000</v>
      </c>
      <c r="L21" s="180">
        <f t="shared" si="3"/>
        <v>-0.7125</v>
      </c>
      <c r="M21" s="179" t="str">
        <f t="shared" si="4"/>
        <v>📉</v>
      </c>
      <c r="N21" s="182">
        <f>IFERROR(VLOOKUP($B21, 'Апрель_2025'!$B$1:$I$80, 8, FALSE),"нет данных")</f>
        <v>200000</v>
      </c>
      <c r="O21" s="180">
        <f t="shared" si="5"/>
        <v>7.695652174</v>
      </c>
      <c r="P21" s="181" t="str">
        <f t="shared" si="6"/>
        <v>📈</v>
      </c>
      <c r="Q21" s="183">
        <f>IFERROR(VLOOKUP($B21, 'Май_2025'!$B$1:$I$80, 8, FALSE),"нет данных")</f>
        <v>200000</v>
      </c>
      <c r="R21" s="180">
        <f t="shared" si="7"/>
        <v>0</v>
      </c>
      <c r="S21" s="181" t="str">
        <f t="shared" si="8"/>
        <v>📈</v>
      </c>
      <c r="T21" s="184">
        <f>IFERROR(VLOOKUP($B21, 'Июнь_2025'!$B$1:$I$80, 8, FALSE),"нет данных")</f>
        <v>0</v>
      </c>
      <c r="U21" s="180">
        <f t="shared" si="9"/>
        <v>-1</v>
      </c>
      <c r="V21" s="181" t="str">
        <f t="shared" si="10"/>
        <v>📉</v>
      </c>
    </row>
    <row r="22">
      <c r="A22" s="176" t="s">
        <v>9</v>
      </c>
      <c r="B22" s="149" t="s">
        <v>22</v>
      </c>
      <c r="C22" s="149" t="s">
        <v>23</v>
      </c>
      <c r="D22" s="177" t="s">
        <v>24</v>
      </c>
      <c r="E22" s="178">
        <f>IFERROR(VLOOKUP($B22, Январь_2025[[#ALL],[ID арендатора]:[Долг по аренде (руб)]], 8, FALSE),"нет данных")</f>
        <v>60000</v>
      </c>
      <c r="G22" s="179"/>
      <c r="H22" s="178">
        <f>IFERROR(VLOOKUP($B22, Февраль_2025[[#ALL],[ID арендатора]:[Долг по аренде (руб)]], 8, FALSE),"нет данных")</f>
        <v>32000</v>
      </c>
      <c r="I22" s="180">
        <f t="shared" si="1"/>
        <v>-0.4666666667</v>
      </c>
      <c r="J22" s="181" t="str">
        <f t="shared" si="2"/>
        <v>📉</v>
      </c>
      <c r="K22" s="178">
        <f>IFERROR(VLOOKUP($B22, Март_2025[[#ALL],[ID арендатора]:[Долг по аренде (руб)]], 8, FALSE),"нет данных")</f>
        <v>15000</v>
      </c>
      <c r="L22" s="180">
        <f t="shared" si="3"/>
        <v>-0.53125</v>
      </c>
      <c r="M22" s="179" t="str">
        <f t="shared" si="4"/>
        <v>📉</v>
      </c>
      <c r="N22" s="182">
        <f>IFERROR(VLOOKUP($B22, 'Апрель_2025'!$B$1:$I$80, 8, FALSE),"нет данных")</f>
        <v>60000</v>
      </c>
      <c r="O22" s="180">
        <f t="shared" si="5"/>
        <v>3</v>
      </c>
      <c r="P22" s="181" t="str">
        <f t="shared" si="6"/>
        <v>📈</v>
      </c>
      <c r="Q22" s="183">
        <f>IFERROR(VLOOKUP($B22, 'Май_2025'!$B$1:$I$80, 8, FALSE),"нет данных")</f>
        <v>60000</v>
      </c>
      <c r="R22" s="180">
        <f t="shared" si="7"/>
        <v>0</v>
      </c>
      <c r="S22" s="181" t="str">
        <f t="shared" si="8"/>
        <v>📈</v>
      </c>
      <c r="T22" s="184">
        <f>IFERROR(VLOOKUP($B22, 'Июнь_2025'!$B$1:$I$80, 8, FALSE),"нет данных")</f>
        <v>60000</v>
      </c>
      <c r="U22" s="180">
        <f t="shared" si="9"/>
        <v>0</v>
      </c>
      <c r="V22" s="181" t="str">
        <f t="shared" si="10"/>
        <v>📈</v>
      </c>
    </row>
    <row r="23">
      <c r="A23" s="176" t="s">
        <v>9</v>
      </c>
      <c r="B23" s="149" t="s">
        <v>10</v>
      </c>
      <c r="C23" s="149" t="s">
        <v>11</v>
      </c>
      <c r="D23" s="177" t="s">
        <v>12</v>
      </c>
      <c r="E23" s="178">
        <f>IFERROR(VLOOKUP($B23, Январь_2025[[#ALL],[ID арендатора]:[Долг по аренде (руб)]], 8, FALSE),"нет данных")</f>
        <v>45000</v>
      </c>
      <c r="G23" s="179"/>
      <c r="H23" s="178">
        <f>IFERROR(VLOOKUP($B23, Февраль_2025[[#ALL],[ID арендатора]:[Долг по аренде (руб)]], 8, FALSE),"нет данных")</f>
        <v>40000</v>
      </c>
      <c r="I23" s="180">
        <f t="shared" si="1"/>
        <v>-0.1111111111</v>
      </c>
      <c r="J23" s="181" t="str">
        <f t="shared" si="2"/>
        <v>📉</v>
      </c>
      <c r="K23" s="178">
        <f>IFERROR(VLOOKUP($B23, Март_2025[[#ALL],[ID арендатора]:[Долг по аренде (руб)]], 8, FALSE),"нет данных")</f>
        <v>35000</v>
      </c>
      <c r="L23" s="180">
        <f t="shared" si="3"/>
        <v>-0.125</v>
      </c>
      <c r="M23" s="179" t="str">
        <f t="shared" si="4"/>
        <v>📉</v>
      </c>
      <c r="N23" s="182">
        <f>IFERROR(VLOOKUP($B23, 'Апрель_2025'!$B$1:$I$80, 8, FALSE),"нет данных")</f>
        <v>20000</v>
      </c>
      <c r="O23" s="180">
        <f t="shared" si="5"/>
        <v>-0.4285714286</v>
      </c>
      <c r="P23" s="181" t="str">
        <f t="shared" si="6"/>
        <v>📉</v>
      </c>
      <c r="Q23" s="183">
        <f>IFERROR(VLOOKUP($B23, 'Май_2025'!$B$1:$I$80, 8, FALSE),"нет данных")</f>
        <v>15000</v>
      </c>
      <c r="R23" s="180">
        <f t="shared" si="7"/>
        <v>-0.25</v>
      </c>
      <c r="S23" s="181" t="str">
        <f t="shared" si="8"/>
        <v>📉</v>
      </c>
      <c r="T23" s="184">
        <f>IFERROR(VLOOKUP($B23, 'Июнь_2025'!$B$1:$I$80, 8, FALSE),"нет данных")</f>
        <v>5000</v>
      </c>
      <c r="U23" s="180">
        <f t="shared" si="9"/>
        <v>-0.6666666667</v>
      </c>
      <c r="V23" s="181" t="str">
        <f t="shared" si="10"/>
        <v>📉</v>
      </c>
    </row>
    <row r="24">
      <c r="A24" s="176" t="s">
        <v>16</v>
      </c>
      <c r="B24" s="149" t="s">
        <v>49</v>
      </c>
      <c r="C24" s="185" t="s">
        <v>50</v>
      </c>
      <c r="D24" s="177" t="s">
        <v>40</v>
      </c>
      <c r="E24" s="178">
        <f>IFERROR(VLOOKUP($B24, Январь_2025[[#ALL],[ID арендатора]:[Долг по аренде (руб)]], 8, FALSE),"нет данных")</f>
        <v>18460</v>
      </c>
      <c r="G24" s="179"/>
      <c r="H24" s="178">
        <f>IFERROR(VLOOKUP($B24, Февраль_2025[[#ALL],[ID арендатора]:[Долг по аренде (руб)]], 8, FALSE),"нет данных")</f>
        <v>18460</v>
      </c>
      <c r="I24" s="180">
        <f t="shared" si="1"/>
        <v>0</v>
      </c>
      <c r="J24" s="181" t="str">
        <f t="shared" si="2"/>
        <v>📈</v>
      </c>
      <c r="K24" s="178">
        <f>IFERROR(VLOOKUP($B24, Март_2025[[#ALL],[ID арендатора]:[Долг по аренде (руб)]], 8, FALSE),"нет данных")</f>
        <v>18460</v>
      </c>
      <c r="L24" s="180">
        <f t="shared" si="3"/>
        <v>0</v>
      </c>
      <c r="M24" s="179" t="str">
        <f t="shared" si="4"/>
        <v>📈</v>
      </c>
      <c r="N24" s="182">
        <f>IFERROR(VLOOKUP($B24, 'Апрель_2025'!$B$1:$I$80, 8, FALSE),"нет данных")</f>
        <v>18460</v>
      </c>
      <c r="O24" s="180">
        <f t="shared" si="5"/>
        <v>0</v>
      </c>
      <c r="P24" s="181" t="str">
        <f t="shared" si="6"/>
        <v>📈</v>
      </c>
      <c r="Q24" s="183">
        <f>IFERROR(VLOOKUP($B24, 'Май_2025'!$B$1:$I$80, 8, FALSE),"нет данных")</f>
        <v>18460</v>
      </c>
      <c r="R24" s="180">
        <f t="shared" si="7"/>
        <v>0</v>
      </c>
      <c r="S24" s="181" t="str">
        <f t="shared" si="8"/>
        <v>📈</v>
      </c>
      <c r="T24" s="184">
        <f>IFERROR(VLOOKUP($B24, 'Июнь_2025'!$B$1:$I$80, 8, FALSE),"нет данных")</f>
        <v>18460</v>
      </c>
      <c r="U24" s="180">
        <f t="shared" si="9"/>
        <v>0</v>
      </c>
      <c r="V24" s="181" t="str">
        <f t="shared" si="10"/>
        <v>📈</v>
      </c>
    </row>
    <row r="25">
      <c r="A25" s="176" t="s">
        <v>16</v>
      </c>
      <c r="B25" s="149" t="s">
        <v>78</v>
      </c>
      <c r="C25" s="149" t="s">
        <v>79</v>
      </c>
      <c r="D25" s="177" t="s">
        <v>65</v>
      </c>
      <c r="E25" s="178">
        <f>IFERROR(VLOOKUP($B25, Январь_2025[[#ALL],[ID арендатора]:[Долг по аренде (руб)]], 8, FALSE),"нет данных")</f>
        <v>150000</v>
      </c>
      <c r="G25" s="179"/>
      <c r="H25" s="178">
        <f>IFERROR(VLOOKUP($B25, Февраль_2025[[#ALL],[ID арендатора]:[Долг по аренде (руб)]], 8, FALSE),"нет данных")</f>
        <v>150000</v>
      </c>
      <c r="I25" s="180">
        <f t="shared" si="1"/>
        <v>0</v>
      </c>
      <c r="J25" s="181" t="str">
        <f t="shared" si="2"/>
        <v>📈</v>
      </c>
      <c r="K25" s="178">
        <f>IFERROR(VLOOKUP($B25, Март_2025[[#ALL],[ID арендатора]:[Долг по аренде (руб)]], 8, FALSE),"нет данных")</f>
        <v>0</v>
      </c>
      <c r="L25" s="180">
        <f t="shared" si="3"/>
        <v>-1</v>
      </c>
      <c r="M25" s="179" t="str">
        <f t="shared" si="4"/>
        <v>📉</v>
      </c>
      <c r="N25" s="182">
        <f>IFERROR(VLOOKUP($B25, 'Апрель_2025'!$B$1:$I$80, 8, FALSE),"нет данных")</f>
        <v>150000</v>
      </c>
      <c r="O25" s="180">
        <f t="shared" si="5"/>
        <v>1</v>
      </c>
      <c r="P25" s="181" t="str">
        <f t="shared" si="6"/>
        <v>📈</v>
      </c>
      <c r="Q25" s="183">
        <f>IFERROR(VLOOKUP($B25, 'Май_2025'!$B$1:$I$80, 8, FALSE),"нет данных")</f>
        <v>900</v>
      </c>
      <c r="R25" s="180">
        <f t="shared" si="7"/>
        <v>-0.994</v>
      </c>
      <c r="S25" s="181" t="str">
        <f t="shared" si="8"/>
        <v>📉</v>
      </c>
      <c r="T25" s="184">
        <f>IFERROR(VLOOKUP($B25, 'Июнь_2025'!$B$1:$I$80, 8, FALSE),"нет данных")</f>
        <v>70000</v>
      </c>
      <c r="U25" s="180">
        <f t="shared" si="9"/>
        <v>76.77777778</v>
      </c>
      <c r="V25" s="181" t="str">
        <f t="shared" si="10"/>
        <v>📈</v>
      </c>
    </row>
    <row r="26">
      <c r="A26" s="176" t="s">
        <v>16</v>
      </c>
      <c r="B26" s="149" t="s">
        <v>82</v>
      </c>
      <c r="C26" s="149" t="s">
        <v>77</v>
      </c>
      <c r="D26" s="177" t="s">
        <v>65</v>
      </c>
      <c r="E26" s="178">
        <f>IFERROR(VLOOKUP($B26, Январь_2025[[#ALL],[ID арендатора]:[Долг по аренде (руб)]], 8, FALSE),"нет данных")</f>
        <v>500000</v>
      </c>
      <c r="G26" s="179"/>
      <c r="H26" s="178">
        <f>IFERROR(VLOOKUP($B26, Февраль_2025[[#ALL],[ID арендатора]:[Долг по аренде (руб)]], 8, FALSE),"нет данных")</f>
        <v>500000</v>
      </c>
      <c r="I26" s="180">
        <f t="shared" si="1"/>
        <v>0</v>
      </c>
      <c r="J26" s="181" t="str">
        <f t="shared" si="2"/>
        <v>📈</v>
      </c>
      <c r="K26" s="178">
        <f>IFERROR(VLOOKUP($B26, Март_2025[[#ALL],[ID арендатора]:[Долг по аренде (руб)]], 8, FALSE),"нет данных")</f>
        <v>100000</v>
      </c>
      <c r="L26" s="180">
        <f t="shared" si="3"/>
        <v>-0.8</v>
      </c>
      <c r="M26" s="179" t="str">
        <f t="shared" si="4"/>
        <v>📉</v>
      </c>
      <c r="N26" s="182">
        <f>IFERROR(VLOOKUP($B26, 'Апрель_2025'!$B$1:$I$80, 8, FALSE),"нет данных")</f>
        <v>5000</v>
      </c>
      <c r="O26" s="180">
        <f t="shared" si="5"/>
        <v>-0.95</v>
      </c>
      <c r="P26" s="181" t="str">
        <f t="shared" si="6"/>
        <v>📉</v>
      </c>
      <c r="Q26" s="183">
        <f>IFERROR(VLOOKUP($B26, 'Май_2025'!$B$1:$I$80, 8, FALSE),"нет данных")</f>
        <v>0</v>
      </c>
      <c r="R26" s="180">
        <f t="shared" si="7"/>
        <v>-1</v>
      </c>
      <c r="S26" s="181" t="str">
        <f t="shared" si="8"/>
        <v>📉</v>
      </c>
      <c r="T26" s="184">
        <f>IFERROR(VLOOKUP($B26, 'Июнь_2025'!$B$1:$I$80, 8, FALSE),"нет данных")</f>
        <v>0</v>
      </c>
      <c r="U26" s="180" t="str">
        <f t="shared" si="9"/>
        <v/>
      </c>
      <c r="V26" s="181" t="str">
        <f t="shared" si="10"/>
        <v> </v>
      </c>
    </row>
    <row r="27">
      <c r="A27" s="176" t="s">
        <v>16</v>
      </c>
      <c r="B27" s="149" t="s">
        <v>83</v>
      </c>
      <c r="C27" s="149" t="s">
        <v>84</v>
      </c>
      <c r="D27" s="177" t="s">
        <v>65</v>
      </c>
      <c r="E27" s="178">
        <f>IFERROR(VLOOKUP($B27, Январь_2025[[#ALL],[ID арендатора]:[Долг по аренде (руб)]], 8, FALSE),"нет данных")</f>
        <v>50000</v>
      </c>
      <c r="G27" s="179"/>
      <c r="H27" s="178">
        <f>IFERROR(VLOOKUP($B27, Февраль_2025[[#ALL],[ID арендатора]:[Долг по аренде (руб)]], 8, FALSE),"нет данных")</f>
        <v>50000</v>
      </c>
      <c r="I27" s="180">
        <f t="shared" si="1"/>
        <v>0</v>
      </c>
      <c r="J27" s="181" t="str">
        <f t="shared" si="2"/>
        <v>📈</v>
      </c>
      <c r="K27" s="178">
        <f>IFERROR(VLOOKUP($B27, Март_2025[[#ALL],[ID арендатора]:[Долг по аренде (руб)]], 8, FALSE),"нет данных")</f>
        <v>50000</v>
      </c>
      <c r="L27" s="180">
        <f t="shared" si="3"/>
        <v>0</v>
      </c>
      <c r="M27" s="179" t="str">
        <f t="shared" si="4"/>
        <v>📈</v>
      </c>
      <c r="N27" s="182">
        <f>IFERROR(VLOOKUP($B27, 'Апрель_2025'!$B$1:$I$80, 8, FALSE),"нет данных")</f>
        <v>50000</v>
      </c>
      <c r="O27" s="180">
        <f t="shared" si="5"/>
        <v>0</v>
      </c>
      <c r="P27" s="181" t="str">
        <f t="shared" si="6"/>
        <v>📈</v>
      </c>
      <c r="Q27" s="183">
        <f>IFERROR(VLOOKUP($B27, 'Май_2025'!$B$1:$I$80, 8, FALSE),"нет данных")</f>
        <v>50000</v>
      </c>
      <c r="R27" s="180">
        <f t="shared" si="7"/>
        <v>0</v>
      </c>
      <c r="S27" s="181" t="str">
        <f t="shared" si="8"/>
        <v>📈</v>
      </c>
      <c r="T27" s="184">
        <f>IFERROR(VLOOKUP($B27, 'Июнь_2025'!$B$1:$I$80, 8, FALSE),"нет данных")</f>
        <v>50000</v>
      </c>
      <c r="U27" s="180">
        <f t="shared" si="9"/>
        <v>0</v>
      </c>
      <c r="V27" s="181" t="str">
        <f t="shared" si="10"/>
        <v>📈</v>
      </c>
    </row>
    <row r="28">
      <c r="A28" s="176" t="s">
        <v>16</v>
      </c>
      <c r="B28" s="149" t="s">
        <v>124</v>
      </c>
      <c r="C28" s="149" t="s">
        <v>125</v>
      </c>
      <c r="D28" s="177" t="s">
        <v>121</v>
      </c>
      <c r="E28" s="178">
        <f>IFERROR(VLOOKUP($B28, Январь_2025[[#ALL],[ID арендатора]:[Долг по аренде (руб)]], 8, FALSE),"нет данных")</f>
        <v>100000</v>
      </c>
      <c r="G28" s="179"/>
      <c r="H28" s="178">
        <f>IFERROR(VLOOKUP($B28, Февраль_2025[[#ALL],[ID арендатора]:[Долг по аренде (руб)]], 8, FALSE),"нет данных")</f>
        <v>100000</v>
      </c>
      <c r="I28" s="180">
        <f t="shared" si="1"/>
        <v>0</v>
      </c>
      <c r="J28" s="181" t="str">
        <f t="shared" si="2"/>
        <v>📈</v>
      </c>
      <c r="K28" s="178">
        <f>IFERROR(VLOOKUP($B28, Март_2025[[#ALL],[ID арендатора]:[Долг по аренде (руб)]], 8, FALSE),"нет данных")</f>
        <v>50000</v>
      </c>
      <c r="L28" s="180">
        <f t="shared" si="3"/>
        <v>-0.5</v>
      </c>
      <c r="M28" s="179" t="str">
        <f t="shared" si="4"/>
        <v>📉</v>
      </c>
      <c r="N28" s="182">
        <f>IFERROR(VLOOKUP($B28, 'Апрель_2025'!$B$1:$I$80, 8, FALSE),"нет данных")</f>
        <v>100000</v>
      </c>
      <c r="O28" s="180">
        <f t="shared" si="5"/>
        <v>1</v>
      </c>
      <c r="P28" s="181" t="str">
        <f t="shared" si="6"/>
        <v>📈</v>
      </c>
      <c r="Q28" s="183">
        <f>IFERROR(VLOOKUP($B28, 'Май_2025'!$B$1:$I$80, 8, FALSE),"нет данных")</f>
        <v>20000</v>
      </c>
      <c r="R28" s="180">
        <f t="shared" si="7"/>
        <v>-0.8</v>
      </c>
      <c r="S28" s="181" t="str">
        <f t="shared" si="8"/>
        <v>📉</v>
      </c>
      <c r="T28" s="184">
        <f>IFERROR(VLOOKUP($B28, 'Июнь_2025'!$B$1:$I$80, 8, FALSE),"нет данных")</f>
        <v>50000</v>
      </c>
      <c r="U28" s="180">
        <f t="shared" si="9"/>
        <v>1.5</v>
      </c>
      <c r="V28" s="181" t="str">
        <f t="shared" si="10"/>
        <v>📈</v>
      </c>
    </row>
    <row r="29">
      <c r="A29" s="176" t="s">
        <v>16</v>
      </c>
      <c r="B29" s="149" t="s">
        <v>143</v>
      </c>
      <c r="C29" s="149" t="s">
        <v>144</v>
      </c>
      <c r="D29" s="177" t="s">
        <v>140</v>
      </c>
      <c r="E29" s="178">
        <f>IFERROR(VLOOKUP($B29, Январь_2025[[#ALL],[ID арендатора]:[Долг по аренде (руб)]], 8, FALSE),"нет данных")</f>
        <v>50000</v>
      </c>
      <c r="G29" s="179"/>
      <c r="H29" s="178">
        <f>IFERROR(VLOOKUP($B29, Февраль_2025[[#ALL],[ID арендатора]:[Долг по аренде (руб)]], 8, FALSE),"нет данных")</f>
        <v>50000</v>
      </c>
      <c r="I29" s="180">
        <f t="shared" si="1"/>
        <v>0</v>
      </c>
      <c r="J29" s="181" t="str">
        <f t="shared" si="2"/>
        <v>📈</v>
      </c>
      <c r="K29" s="178">
        <f>IFERROR(VLOOKUP($B29, Март_2025[[#ALL],[ID арендатора]:[Долг по аренде (руб)]], 8, FALSE),"нет данных")</f>
        <v>0</v>
      </c>
      <c r="L29" s="180">
        <f t="shared" si="3"/>
        <v>-1</v>
      </c>
      <c r="M29" s="179" t="str">
        <f t="shared" si="4"/>
        <v>📉</v>
      </c>
      <c r="N29" s="182">
        <f>IFERROR(VLOOKUP($B29, 'Апрель_2025'!$B$1:$I$80, 8, FALSE),"нет данных")</f>
        <v>50000</v>
      </c>
      <c r="O29" s="180">
        <f t="shared" si="5"/>
        <v>1</v>
      </c>
      <c r="P29" s="181" t="str">
        <f t="shared" si="6"/>
        <v>📈</v>
      </c>
      <c r="Q29" s="183">
        <f>IFERROR(VLOOKUP($B29, 'Май_2025'!$B$1:$I$80, 8, FALSE),"нет данных")</f>
        <v>50000</v>
      </c>
      <c r="R29" s="180">
        <f t="shared" si="7"/>
        <v>0</v>
      </c>
      <c r="S29" s="181" t="str">
        <f t="shared" si="8"/>
        <v>📈</v>
      </c>
      <c r="T29" s="184">
        <f>IFERROR(VLOOKUP($B29, 'Июнь_2025'!$B$1:$I$80, 8, FALSE),"нет данных")</f>
        <v>50000</v>
      </c>
      <c r="U29" s="180">
        <f t="shared" si="9"/>
        <v>0</v>
      </c>
      <c r="V29" s="181" t="str">
        <f t="shared" si="10"/>
        <v>📈</v>
      </c>
    </row>
    <row r="30">
      <c r="A30" s="176" t="s">
        <v>9</v>
      </c>
      <c r="B30" s="149" t="s">
        <v>66</v>
      </c>
      <c r="C30" s="185" t="s">
        <v>67</v>
      </c>
      <c r="D30" s="177" t="s">
        <v>65</v>
      </c>
      <c r="E30" s="178">
        <f>IFERROR(VLOOKUP($B30, Январь_2025[[#ALL],[ID арендатора]:[Долг по аренде (руб)]], 8, FALSE),"нет данных")</f>
        <v>50000</v>
      </c>
      <c r="G30" s="179"/>
      <c r="H30" s="178">
        <f>IFERROR(VLOOKUP($B30, Февраль_2025[[#ALL],[ID арендатора]:[Долг по аренде (руб)]], 8, FALSE),"нет данных")</f>
        <v>60000</v>
      </c>
      <c r="I30" s="180">
        <f t="shared" si="1"/>
        <v>0.2</v>
      </c>
      <c r="J30" s="181" t="str">
        <f t="shared" si="2"/>
        <v>📈</v>
      </c>
      <c r="K30" s="178">
        <f>IFERROR(VLOOKUP($B30, Март_2025[[#ALL],[ID арендатора]:[Долг по аренде (руб)]], 8, FALSE),"нет данных")</f>
        <v>50000</v>
      </c>
      <c r="L30" s="180">
        <f t="shared" si="3"/>
        <v>-0.1666666667</v>
      </c>
      <c r="M30" s="179" t="str">
        <f t="shared" si="4"/>
        <v>📉</v>
      </c>
      <c r="N30" s="182">
        <f>IFERROR(VLOOKUP($B30, 'Апрель_2025'!$B$1:$I$80, 8, FALSE),"нет данных")</f>
        <v>50000</v>
      </c>
      <c r="O30" s="180">
        <f t="shared" si="5"/>
        <v>0</v>
      </c>
      <c r="P30" s="181" t="str">
        <f t="shared" si="6"/>
        <v>📈</v>
      </c>
      <c r="Q30" s="183">
        <f>IFERROR(VLOOKUP($B30, 'Май_2025'!$B$1:$I$80, 8, FALSE),"нет данных")</f>
        <v>50000</v>
      </c>
      <c r="R30" s="180">
        <f t="shared" si="7"/>
        <v>0</v>
      </c>
      <c r="S30" s="181" t="str">
        <f t="shared" si="8"/>
        <v>📈</v>
      </c>
      <c r="T30" s="184">
        <f>IFERROR(VLOOKUP($B30, 'Июнь_2025'!$B$1:$I$80, 8, FALSE),"нет данных")</f>
        <v>50000</v>
      </c>
      <c r="U30" s="180">
        <f t="shared" si="9"/>
        <v>0</v>
      </c>
      <c r="V30" s="181" t="str">
        <f t="shared" si="10"/>
        <v>📈</v>
      </c>
    </row>
    <row r="31">
      <c r="A31" s="186" t="s">
        <v>9</v>
      </c>
      <c r="B31" s="149" t="s">
        <v>25</v>
      </c>
      <c r="C31" s="187" t="s">
        <v>26</v>
      </c>
      <c r="D31" s="188" t="s">
        <v>24</v>
      </c>
      <c r="E31" s="178">
        <f>IFERROR(VLOOKUP($B31, Январь_2025[[#ALL],[ID арендатора]:[Долг по аренде (руб)]], 8, FALSE),"нет данных")</f>
        <v>0</v>
      </c>
      <c r="G31" s="179"/>
      <c r="H31" s="178">
        <f>IFERROR(VLOOKUP($B31, Февраль_2025[[#ALL],[ID арендатора]:[Долг по аренде (руб)]], 8, FALSE),"нет данных")</f>
        <v>3000</v>
      </c>
      <c r="I31" s="180">
        <f t="shared" si="1"/>
        <v>1</v>
      </c>
      <c r="J31" s="181" t="str">
        <f t="shared" si="2"/>
        <v>📈</v>
      </c>
      <c r="K31" s="178">
        <f>IFERROR(VLOOKUP($B31, Март_2025[[#ALL],[ID арендатора]:[Долг по аренде (руб)]], 8, FALSE),"нет данных")</f>
        <v>0</v>
      </c>
      <c r="L31" s="180">
        <f t="shared" si="3"/>
        <v>-1</v>
      </c>
      <c r="M31" s="179" t="str">
        <f t="shared" si="4"/>
        <v>📉</v>
      </c>
      <c r="N31" s="182">
        <f>IFERROR(VLOOKUP($B31, 'Апрель_2025'!$B$1:$I$80, 8, FALSE),"нет данных")</f>
        <v>0</v>
      </c>
      <c r="O31" s="180" t="str">
        <f t="shared" si="5"/>
        <v/>
      </c>
      <c r="P31" s="181" t="str">
        <f t="shared" si="6"/>
        <v> </v>
      </c>
      <c r="Q31" s="183">
        <f>IFERROR(VLOOKUP($B31, 'Май_2025'!$B$1:$I$80, 8, FALSE),"нет данных")</f>
        <v>0</v>
      </c>
      <c r="R31" s="180" t="str">
        <f t="shared" si="7"/>
        <v/>
      </c>
      <c r="S31" s="181" t="str">
        <f t="shared" si="8"/>
        <v> </v>
      </c>
      <c r="T31" s="184">
        <f>IFERROR(VLOOKUP($B31, 'Июнь_2025'!$B$1:$I$80, 8, FALSE),"нет данных")</f>
        <v>0</v>
      </c>
      <c r="U31" s="180" t="str">
        <f t="shared" si="9"/>
        <v/>
      </c>
      <c r="V31" s="181" t="str">
        <f t="shared" si="10"/>
        <v> </v>
      </c>
    </row>
    <row r="32">
      <c r="A32" s="176" t="s">
        <v>9</v>
      </c>
      <c r="B32" s="149" t="s">
        <v>38</v>
      </c>
      <c r="C32" s="149" t="s">
        <v>39</v>
      </c>
      <c r="D32" s="177" t="s">
        <v>40</v>
      </c>
      <c r="E32" s="178">
        <f>IFERROR(VLOOKUP($B32, Январь_2025[[#ALL],[ID арендатора]:[Долг по аренде (руб)]], 8, FALSE),"нет данных")</f>
        <v>0</v>
      </c>
      <c r="G32" s="179"/>
      <c r="H32" s="178">
        <f>IFERROR(VLOOKUP($B32, Февраль_2025[[#ALL],[ID арендатора]:[Долг по аренде (руб)]], 8, FALSE),"нет данных")</f>
        <v>23000</v>
      </c>
      <c r="I32" s="180">
        <f t="shared" si="1"/>
        <v>1</v>
      </c>
      <c r="J32" s="181" t="str">
        <f t="shared" si="2"/>
        <v>📈</v>
      </c>
      <c r="K32" s="178">
        <f>IFERROR(VLOOKUP($B32, Март_2025[[#ALL],[ID арендатора]:[Долг по аренде (руб)]], 8, FALSE),"нет данных")</f>
        <v>0</v>
      </c>
      <c r="L32" s="180">
        <f t="shared" si="3"/>
        <v>-1</v>
      </c>
      <c r="M32" s="179" t="str">
        <f t="shared" si="4"/>
        <v>📉</v>
      </c>
      <c r="N32" s="182">
        <f>IFERROR(VLOOKUP($B32, 'Апрель_2025'!$B$1:$I$80, 8, FALSE),"нет данных")</f>
        <v>0</v>
      </c>
      <c r="O32" s="180" t="str">
        <f t="shared" si="5"/>
        <v/>
      </c>
      <c r="P32" s="181" t="str">
        <f t="shared" si="6"/>
        <v> </v>
      </c>
      <c r="Q32" s="183">
        <f>IFERROR(VLOOKUP($B32, 'Май_2025'!$B$1:$I$80, 8, FALSE),"нет данных")</f>
        <v>0</v>
      </c>
      <c r="R32" s="180" t="str">
        <f t="shared" si="7"/>
        <v/>
      </c>
      <c r="S32" s="181" t="str">
        <f t="shared" si="8"/>
        <v> </v>
      </c>
      <c r="T32" s="184">
        <f>IFERROR(VLOOKUP($B32, 'Июнь_2025'!$B$1:$I$80, 8, FALSE),"нет данных")</f>
        <v>0</v>
      </c>
      <c r="U32" s="180" t="str">
        <f t="shared" si="9"/>
        <v/>
      </c>
      <c r="V32" s="181" t="str">
        <f t="shared" si="10"/>
        <v> </v>
      </c>
    </row>
    <row r="33">
      <c r="A33" s="176" t="s">
        <v>9</v>
      </c>
      <c r="B33" s="149" t="s">
        <v>156</v>
      </c>
      <c r="C33" s="149" t="s">
        <v>157</v>
      </c>
      <c r="D33" s="177" t="s">
        <v>158</v>
      </c>
      <c r="E33" s="178">
        <f>IFERROR(VLOOKUP($B33, Январь_2025[[#ALL],[ID арендатора]:[Долг по аренде (руб)]], 8, FALSE),"нет данных")</f>
        <v>0</v>
      </c>
      <c r="G33" s="179"/>
      <c r="H33" s="178">
        <f>IFERROR(VLOOKUP($B33, Февраль_2025[[#ALL],[ID арендатора]:[Долг по аренде (руб)]], 8, FALSE),"нет данных")</f>
        <v>60000</v>
      </c>
      <c r="I33" s="180">
        <f t="shared" si="1"/>
        <v>1</v>
      </c>
      <c r="J33" s="181" t="str">
        <f t="shared" si="2"/>
        <v>📈</v>
      </c>
      <c r="K33" s="178">
        <f>IFERROR(VLOOKUP($B33, Март_2025[[#ALL],[ID арендатора]:[Долг по аренде (руб)]], 8, FALSE),"нет данных")</f>
        <v>0</v>
      </c>
      <c r="L33" s="180">
        <f t="shared" si="3"/>
        <v>-1</v>
      </c>
      <c r="M33" s="179" t="str">
        <f t="shared" si="4"/>
        <v>📉</v>
      </c>
      <c r="N33" s="182">
        <f>IFERROR(VLOOKUP($B33, 'Апрель_2025'!$B$1:$I$80, 8, FALSE),"нет данных")</f>
        <v>0</v>
      </c>
      <c r="O33" s="180" t="str">
        <f t="shared" si="5"/>
        <v/>
      </c>
      <c r="P33" s="181" t="str">
        <f t="shared" si="6"/>
        <v> </v>
      </c>
      <c r="Q33" s="183">
        <f>IFERROR(VLOOKUP($B33, 'Май_2025'!$B$1:$I$80, 8, FALSE),"нет данных")</f>
        <v>0</v>
      </c>
      <c r="R33" s="180" t="str">
        <f t="shared" si="7"/>
        <v/>
      </c>
      <c r="S33" s="181" t="str">
        <f t="shared" si="8"/>
        <v> </v>
      </c>
      <c r="T33" s="184">
        <f>IFERROR(VLOOKUP($B33, 'Июнь_2025'!$B$1:$I$80, 8, FALSE),"нет данных")</f>
        <v>0</v>
      </c>
      <c r="U33" s="180" t="str">
        <f t="shared" si="9"/>
        <v/>
      </c>
      <c r="V33" s="181" t="str">
        <f t="shared" si="10"/>
        <v> </v>
      </c>
    </row>
    <row r="34">
      <c r="A34" s="176" t="s">
        <v>13</v>
      </c>
      <c r="B34" s="149" t="s">
        <v>76</v>
      </c>
      <c r="C34" s="149" t="s">
        <v>77</v>
      </c>
      <c r="D34" s="177" t="s">
        <v>65</v>
      </c>
      <c r="E34" s="178">
        <f>IFERROR(VLOOKUP($B34, Январь_2025[[#ALL],[ID арендатора]:[Долг по аренде (руб)]], 8, FALSE),"нет данных")</f>
        <v>0</v>
      </c>
      <c r="G34" s="179"/>
      <c r="H34" s="178">
        <f>IFERROR(VLOOKUP($B34, Февраль_2025[[#ALL],[ID арендатора]:[Долг по аренде (руб)]], 8, FALSE),"нет данных")</f>
        <v>100000</v>
      </c>
      <c r="I34" s="180">
        <f t="shared" si="1"/>
        <v>1</v>
      </c>
      <c r="J34" s="181" t="str">
        <f t="shared" si="2"/>
        <v>📈</v>
      </c>
      <c r="K34" s="178">
        <f>IFERROR(VLOOKUP($B34, Март_2025[[#ALL],[ID арендатора]:[Долг по аренде (руб)]], 8, FALSE),"нет данных")</f>
        <v>0</v>
      </c>
      <c r="L34" s="180">
        <f t="shared" si="3"/>
        <v>-1</v>
      </c>
      <c r="M34" s="179" t="str">
        <f t="shared" si="4"/>
        <v>📉</v>
      </c>
      <c r="N34" s="182">
        <f>IFERROR(VLOOKUP($B34, 'Апрель_2025'!$B$1:$I$80, 8, FALSE),"нет данных")</f>
        <v>0</v>
      </c>
      <c r="O34" s="180" t="str">
        <f t="shared" si="5"/>
        <v/>
      </c>
      <c r="P34" s="181" t="str">
        <f t="shared" si="6"/>
        <v> </v>
      </c>
      <c r="Q34" s="183">
        <f>IFERROR(VLOOKUP($B34, 'Май_2025'!$B$1:$I$80, 8, FALSE),"нет данных")</f>
        <v>0</v>
      </c>
      <c r="R34" s="180" t="str">
        <f t="shared" si="7"/>
        <v/>
      </c>
      <c r="S34" s="181" t="str">
        <f t="shared" si="8"/>
        <v> </v>
      </c>
      <c r="T34" s="184">
        <f>IFERROR(VLOOKUP($B34, 'Июнь_2025'!$B$1:$I$80, 8, FALSE),"нет данных")</f>
        <v>0</v>
      </c>
      <c r="U34" s="180" t="str">
        <f t="shared" si="9"/>
        <v/>
      </c>
      <c r="V34" s="181" t="str">
        <f t="shared" si="10"/>
        <v> </v>
      </c>
    </row>
    <row r="35">
      <c r="A35" s="176" t="s">
        <v>13</v>
      </c>
      <c r="B35" s="149" t="s">
        <v>159</v>
      </c>
      <c r="C35" s="149" t="s">
        <v>160</v>
      </c>
      <c r="D35" s="177" t="s">
        <v>158</v>
      </c>
      <c r="E35" s="178">
        <f>IFERROR(VLOOKUP($B35, Январь_2025[[#ALL],[ID арендатора]:[Долг по аренде (руб)]], 8, FALSE),"нет данных")</f>
        <v>0</v>
      </c>
      <c r="G35" s="179"/>
      <c r="H35" s="178">
        <f>IFERROR(VLOOKUP($B35, Февраль_2025[[#ALL],[ID арендатора]:[Долг по аренде (руб)]], 8, FALSE),"нет данных")</f>
        <v>50000</v>
      </c>
      <c r="I35" s="180">
        <f t="shared" si="1"/>
        <v>1</v>
      </c>
      <c r="J35" s="181" t="str">
        <f t="shared" si="2"/>
        <v>📈</v>
      </c>
      <c r="K35" s="178">
        <f>IFERROR(VLOOKUP($B35, Март_2025[[#ALL],[ID арендатора]:[Долг по аренде (руб)]], 8, FALSE),"нет данных")</f>
        <v>0</v>
      </c>
      <c r="L35" s="180">
        <f t="shared" si="3"/>
        <v>-1</v>
      </c>
      <c r="M35" s="179" t="str">
        <f t="shared" si="4"/>
        <v>📉</v>
      </c>
      <c r="N35" s="182">
        <f>IFERROR(VLOOKUP($B35, 'Апрель_2025'!$B$1:$I$80, 8, FALSE),"нет данных")</f>
        <v>0</v>
      </c>
      <c r="O35" s="180" t="str">
        <f t="shared" si="5"/>
        <v/>
      </c>
      <c r="P35" s="181" t="str">
        <f t="shared" si="6"/>
        <v> </v>
      </c>
      <c r="Q35" s="183">
        <f>IFERROR(VLOOKUP($B35, 'Май_2025'!$B$1:$I$80, 8, FALSE),"нет данных")</f>
        <v>0</v>
      </c>
      <c r="R35" s="180" t="str">
        <f t="shared" si="7"/>
        <v/>
      </c>
      <c r="S35" s="181" t="str">
        <f t="shared" si="8"/>
        <v> </v>
      </c>
      <c r="T35" s="184">
        <f>IFERROR(VLOOKUP($B35, 'Июнь_2025'!$B$1:$I$80, 8, FALSE),"нет данных")</f>
        <v>0</v>
      </c>
      <c r="U35" s="180" t="str">
        <f t="shared" si="9"/>
        <v/>
      </c>
      <c r="V35" s="181" t="str">
        <f t="shared" si="10"/>
        <v> </v>
      </c>
    </row>
    <row r="36">
      <c r="A36" s="176" t="s">
        <v>19</v>
      </c>
      <c r="B36" s="149" t="s">
        <v>51</v>
      </c>
      <c r="C36" s="149" t="s">
        <v>52</v>
      </c>
      <c r="D36" s="177" t="s">
        <v>40</v>
      </c>
      <c r="E36" s="178">
        <f>IFERROR(VLOOKUP($B36, Январь_2025[[#ALL],[ID арендатора]:[Долг по аренде (руб)]], 8, FALSE),"нет данных")</f>
        <v>0</v>
      </c>
      <c r="G36" s="179"/>
      <c r="H36" s="178">
        <f>IFERROR(VLOOKUP($B36, Февраль_2025[[#ALL],[ID арендатора]:[Долг по аренде (руб)]], 8, FALSE),"нет данных")</f>
        <v>150000</v>
      </c>
      <c r="I36" s="180">
        <f t="shared" si="1"/>
        <v>1</v>
      </c>
      <c r="J36" s="181" t="str">
        <f t="shared" si="2"/>
        <v>📈</v>
      </c>
      <c r="K36" s="178">
        <f>IFERROR(VLOOKUP($B36, Март_2025[[#ALL],[ID арендатора]:[Долг по аренде (руб)]], 8, FALSE),"нет данных")</f>
        <v>0</v>
      </c>
      <c r="L36" s="180">
        <f t="shared" si="3"/>
        <v>-1</v>
      </c>
      <c r="M36" s="179" t="str">
        <f t="shared" si="4"/>
        <v>📉</v>
      </c>
      <c r="N36" s="182">
        <f>IFERROR(VLOOKUP($B36, 'Апрель_2025'!$B$1:$I$80, 8, FALSE),"нет данных")</f>
        <v>0</v>
      </c>
      <c r="O36" s="180" t="str">
        <f t="shared" si="5"/>
        <v/>
      </c>
      <c r="P36" s="181" t="str">
        <f t="shared" si="6"/>
        <v> </v>
      </c>
      <c r="Q36" s="183">
        <f>IFERROR(VLOOKUP($B36, 'Май_2025'!$B$1:$I$80, 8, FALSE),"нет данных")</f>
        <v>0</v>
      </c>
      <c r="R36" s="180" t="str">
        <f t="shared" si="7"/>
        <v/>
      </c>
      <c r="S36" s="181" t="str">
        <f t="shared" si="8"/>
        <v> </v>
      </c>
      <c r="T36" s="184">
        <f>IFERROR(VLOOKUP($B36, 'Июнь_2025'!$B$1:$I$80, 8, FALSE),"нет данных")</f>
        <v>0</v>
      </c>
      <c r="U36" s="180" t="str">
        <f t="shared" si="9"/>
        <v/>
      </c>
      <c r="V36" s="181" t="str">
        <f t="shared" si="10"/>
        <v> </v>
      </c>
    </row>
    <row r="37">
      <c r="A37" s="176" t="s">
        <v>9</v>
      </c>
      <c r="B37" s="149" t="s">
        <v>63</v>
      </c>
      <c r="C37" s="149" t="s">
        <v>64</v>
      </c>
      <c r="D37" s="177" t="s">
        <v>65</v>
      </c>
      <c r="E37" s="178">
        <f>IFERROR(VLOOKUP($B37, Январь_2025[[#ALL],[ID арендатора]:[Долг по аренде (руб)]], 8, FALSE),"нет данных")</f>
        <v>0</v>
      </c>
      <c r="G37" s="179"/>
      <c r="H37" s="178">
        <f>IFERROR(VLOOKUP($B37, Февраль_2025[[#ALL],[ID арендатора]:[Долг по аренде (руб)]], 8, FALSE),"нет данных")</f>
        <v>0</v>
      </c>
      <c r="I37" s="180" t="str">
        <f t="shared" si="1"/>
        <v/>
      </c>
      <c r="J37" s="181" t="str">
        <f t="shared" si="2"/>
        <v> </v>
      </c>
      <c r="K37" s="178">
        <f>IFERROR(VLOOKUP($B37, Март_2025[[#ALL],[ID арендатора]:[Долг по аренде (руб)]], 8, FALSE),"нет данных")</f>
        <v>0</v>
      </c>
      <c r="L37" s="180" t="str">
        <f t="shared" si="3"/>
        <v/>
      </c>
      <c r="M37" s="179" t="str">
        <f t="shared" si="4"/>
        <v> </v>
      </c>
      <c r="N37" s="182">
        <f>IFERROR(VLOOKUP($B37, 'Апрель_2025'!$B$1:$I$80, 8, FALSE),"нет данных")</f>
        <v>0</v>
      </c>
      <c r="O37" s="180" t="str">
        <f t="shared" si="5"/>
        <v/>
      </c>
      <c r="P37" s="181" t="str">
        <f t="shared" si="6"/>
        <v> </v>
      </c>
      <c r="Q37" s="183">
        <f>IFERROR(VLOOKUP($B37, 'Май_2025'!$B$1:$I$80, 8, FALSE),"нет данных")</f>
        <v>0</v>
      </c>
      <c r="R37" s="180" t="str">
        <f t="shared" si="7"/>
        <v/>
      </c>
      <c r="S37" s="181" t="str">
        <f t="shared" si="8"/>
        <v> </v>
      </c>
      <c r="T37" s="184">
        <f>IFERROR(VLOOKUP($B37, 'Июнь_2025'!$B$1:$I$80, 8, FALSE),"нет данных")</f>
        <v>0</v>
      </c>
      <c r="U37" s="180" t="str">
        <f t="shared" si="9"/>
        <v/>
      </c>
      <c r="V37" s="181" t="str">
        <f t="shared" si="10"/>
        <v> </v>
      </c>
    </row>
    <row r="38">
      <c r="A38" s="176" t="s">
        <v>9</v>
      </c>
      <c r="B38" s="149" t="s">
        <v>68</v>
      </c>
      <c r="C38" s="185" t="s">
        <v>69</v>
      </c>
      <c r="D38" s="177" t="s">
        <v>65</v>
      </c>
      <c r="E38" s="178">
        <f>IFERROR(VLOOKUP($B38, Январь_2025[[#ALL],[ID арендатора]:[Долг по аренде (руб)]], 8, FALSE),"нет данных")</f>
        <v>0</v>
      </c>
      <c r="G38" s="179"/>
      <c r="H38" s="178">
        <f>IFERROR(VLOOKUP($B38, Февраль_2025[[#ALL],[ID арендатора]:[Долг по аренде (руб)]], 8, FALSE),"нет данных")</f>
        <v>0</v>
      </c>
      <c r="I38" s="180" t="str">
        <f t="shared" si="1"/>
        <v/>
      </c>
      <c r="J38" s="181" t="str">
        <f t="shared" si="2"/>
        <v> </v>
      </c>
      <c r="K38" s="178">
        <f>IFERROR(VLOOKUP($B38, Март_2025[[#ALL],[ID арендатора]:[Долг по аренде (руб)]], 8, FALSE),"нет данных")</f>
        <v>0</v>
      </c>
      <c r="L38" s="180" t="str">
        <f t="shared" si="3"/>
        <v/>
      </c>
      <c r="M38" s="179" t="str">
        <f t="shared" si="4"/>
        <v> </v>
      </c>
      <c r="N38" s="182">
        <f>IFERROR(VLOOKUP($B38, 'Апрель_2025'!$B$1:$I$80, 8, FALSE),"нет данных")</f>
        <v>0</v>
      </c>
      <c r="O38" s="180" t="str">
        <f t="shared" si="5"/>
        <v/>
      </c>
      <c r="P38" s="181" t="str">
        <f t="shared" si="6"/>
        <v> </v>
      </c>
      <c r="Q38" s="183">
        <f>IFERROR(VLOOKUP($B38, 'Май_2025'!$B$1:$I$80, 8, FALSE),"нет данных")</f>
        <v>0</v>
      </c>
      <c r="R38" s="180" t="str">
        <f t="shared" si="7"/>
        <v/>
      </c>
      <c r="S38" s="181" t="str">
        <f t="shared" si="8"/>
        <v> </v>
      </c>
      <c r="T38" s="184">
        <f>IFERROR(VLOOKUP($B38, 'Июнь_2025'!$B$1:$I$80, 8, FALSE),"нет данных")</f>
        <v>0</v>
      </c>
      <c r="U38" s="180" t="str">
        <f t="shared" si="9"/>
        <v/>
      </c>
      <c r="V38" s="181" t="str">
        <f t="shared" si="10"/>
        <v> </v>
      </c>
    </row>
    <row r="39">
      <c r="A39" s="176" t="s">
        <v>9</v>
      </c>
      <c r="B39" s="149" t="s">
        <v>91</v>
      </c>
      <c r="C39" s="149" t="s">
        <v>92</v>
      </c>
      <c r="D39" s="177" t="s">
        <v>93</v>
      </c>
      <c r="E39" s="178">
        <f>IFERROR(VLOOKUP($B39, Январь_2025[[#ALL],[ID арендатора]:[Долг по аренде (руб)]], 8, FALSE),"нет данных")</f>
        <v>0</v>
      </c>
      <c r="G39" s="179"/>
      <c r="H39" s="178">
        <f>IFERROR(VLOOKUP($B39, Февраль_2025[[#ALL],[ID арендатора]:[Долг по аренде (руб)]], 8, FALSE),"нет данных")</f>
        <v>0</v>
      </c>
      <c r="I39" s="180" t="str">
        <f t="shared" si="1"/>
        <v/>
      </c>
      <c r="J39" s="181" t="str">
        <f t="shared" si="2"/>
        <v> </v>
      </c>
      <c r="K39" s="178">
        <f>IFERROR(VLOOKUP($B39, Март_2025[[#ALL],[ID арендатора]:[Долг по аренде (руб)]], 8, FALSE),"нет данных")</f>
        <v>0</v>
      </c>
      <c r="L39" s="180" t="str">
        <f t="shared" si="3"/>
        <v/>
      </c>
      <c r="M39" s="179" t="str">
        <f t="shared" si="4"/>
        <v> </v>
      </c>
      <c r="N39" s="182">
        <f>IFERROR(VLOOKUP($B39, 'Апрель_2025'!$B$1:$I$80, 8, FALSE),"нет данных")</f>
        <v>0</v>
      </c>
      <c r="O39" s="180" t="str">
        <f t="shared" si="5"/>
        <v/>
      </c>
      <c r="P39" s="181" t="str">
        <f t="shared" si="6"/>
        <v> </v>
      </c>
      <c r="Q39" s="183">
        <f>IFERROR(VLOOKUP($B39, 'Май_2025'!$B$1:$I$80, 8, FALSE),"нет данных")</f>
        <v>0</v>
      </c>
      <c r="R39" s="180" t="str">
        <f t="shared" si="7"/>
        <v/>
      </c>
      <c r="S39" s="181" t="str">
        <f t="shared" si="8"/>
        <v> </v>
      </c>
      <c r="T39" s="184">
        <f>IFERROR(VLOOKUP($B39, 'Июнь_2025'!$B$1:$I$80, 8, FALSE),"нет данных")</f>
        <v>0</v>
      </c>
      <c r="U39" s="180" t="str">
        <f t="shared" si="9"/>
        <v/>
      </c>
      <c r="V39" s="181" t="str">
        <f t="shared" si="10"/>
        <v> </v>
      </c>
    </row>
    <row r="40">
      <c r="A40" s="176" t="s">
        <v>9</v>
      </c>
      <c r="B40" s="149" t="s">
        <v>94</v>
      </c>
      <c r="C40" s="185" t="s">
        <v>95</v>
      </c>
      <c r="D40" s="177" t="s">
        <v>93</v>
      </c>
      <c r="E40" s="178">
        <f>IFERROR(VLOOKUP($B40, Январь_2025[[#ALL],[ID арендатора]:[Долг по аренде (руб)]], 8, FALSE),"нет данных")</f>
        <v>0</v>
      </c>
      <c r="G40" s="179"/>
      <c r="H40" s="178">
        <f>IFERROR(VLOOKUP($B40, Февраль_2025[[#ALL],[ID арендатора]:[Долг по аренде (руб)]], 8, FALSE),"нет данных")</f>
        <v>0</v>
      </c>
      <c r="I40" s="180" t="str">
        <f t="shared" si="1"/>
        <v/>
      </c>
      <c r="J40" s="181" t="str">
        <f t="shared" si="2"/>
        <v> </v>
      </c>
      <c r="K40" s="178">
        <f>IFERROR(VLOOKUP($B40, Март_2025[[#ALL],[ID арендатора]:[Долг по аренде (руб)]], 8, FALSE),"нет данных")</f>
        <v>0</v>
      </c>
      <c r="L40" s="180" t="str">
        <f t="shared" si="3"/>
        <v/>
      </c>
      <c r="M40" s="179" t="str">
        <f t="shared" si="4"/>
        <v> </v>
      </c>
      <c r="N40" s="182">
        <f>IFERROR(VLOOKUP($B40, 'Апрель_2025'!$B$1:$I$80, 8, FALSE),"нет данных")</f>
        <v>0</v>
      </c>
      <c r="O40" s="180" t="str">
        <f t="shared" si="5"/>
        <v/>
      </c>
      <c r="P40" s="181" t="str">
        <f t="shared" si="6"/>
        <v> </v>
      </c>
      <c r="Q40" s="183">
        <f>IFERROR(VLOOKUP($B40, 'Май_2025'!$B$1:$I$80, 8, FALSE),"нет данных")</f>
        <v>0</v>
      </c>
      <c r="R40" s="180" t="str">
        <f t="shared" si="7"/>
        <v/>
      </c>
      <c r="S40" s="181" t="str">
        <f t="shared" si="8"/>
        <v> </v>
      </c>
      <c r="T40" s="184">
        <f>IFERROR(VLOOKUP($B40, 'Июнь_2025'!$B$1:$I$80, 8, FALSE),"нет данных")</f>
        <v>0</v>
      </c>
      <c r="U40" s="180" t="str">
        <f t="shared" si="9"/>
        <v/>
      </c>
      <c r="V40" s="181" t="str">
        <f t="shared" si="10"/>
        <v> </v>
      </c>
    </row>
    <row r="41">
      <c r="A41" s="176" t="s">
        <v>9</v>
      </c>
      <c r="B41" s="149" t="s">
        <v>119</v>
      </c>
      <c r="C41" s="149" t="s">
        <v>120</v>
      </c>
      <c r="D41" s="177" t="s">
        <v>121</v>
      </c>
      <c r="E41" s="178">
        <f>IFERROR(VLOOKUP($B41, Январь_2025[[#ALL],[ID арендатора]:[Долг по аренде (руб)]], 8, FALSE),"нет данных")</f>
        <v>0</v>
      </c>
      <c r="G41" s="179"/>
      <c r="H41" s="178">
        <f>IFERROR(VLOOKUP($B41, Февраль_2025[[#ALL],[ID арендатора]:[Долг по аренде (руб)]], 8, FALSE),"нет данных")</f>
        <v>0</v>
      </c>
      <c r="I41" s="180" t="str">
        <f t="shared" si="1"/>
        <v/>
      </c>
      <c r="J41" s="181" t="str">
        <f t="shared" si="2"/>
        <v> </v>
      </c>
      <c r="K41" s="178">
        <f>IFERROR(VLOOKUP($B41, Март_2025[[#ALL],[ID арендатора]:[Долг по аренде (руб)]], 8, FALSE),"нет данных")</f>
        <v>0</v>
      </c>
      <c r="L41" s="180" t="str">
        <f t="shared" si="3"/>
        <v/>
      </c>
      <c r="M41" s="179" t="str">
        <f t="shared" si="4"/>
        <v> </v>
      </c>
      <c r="N41" s="182">
        <f>IFERROR(VLOOKUP($B41, 'Апрель_2025'!$B$1:$I$80, 8, FALSE),"нет данных")</f>
        <v>0</v>
      </c>
      <c r="O41" s="180" t="str">
        <f t="shared" si="5"/>
        <v/>
      </c>
      <c r="P41" s="181" t="str">
        <f t="shared" si="6"/>
        <v> </v>
      </c>
      <c r="Q41" s="183">
        <f>IFERROR(VLOOKUP($B41, 'Май_2025'!$B$1:$I$80, 8, FALSE),"нет данных")</f>
        <v>0</v>
      </c>
      <c r="R41" s="180" t="str">
        <f t="shared" si="7"/>
        <v/>
      </c>
      <c r="S41" s="181" t="str">
        <f t="shared" si="8"/>
        <v> </v>
      </c>
      <c r="T41" s="184">
        <f>IFERROR(VLOOKUP($B41, 'Июнь_2025'!$B$1:$I$80, 8, FALSE),"нет данных")</f>
        <v>0</v>
      </c>
      <c r="U41" s="180" t="str">
        <f t="shared" si="9"/>
        <v/>
      </c>
      <c r="V41" s="181" t="str">
        <f t="shared" si="10"/>
        <v> </v>
      </c>
    </row>
    <row r="42">
      <c r="A42" s="176" t="s">
        <v>9</v>
      </c>
      <c r="B42" s="149" t="s">
        <v>128</v>
      </c>
      <c r="C42" s="149" t="s">
        <v>129</v>
      </c>
      <c r="D42" s="177" t="s">
        <v>130</v>
      </c>
      <c r="E42" s="178">
        <f>IFERROR(VLOOKUP($B42, Январь_2025[[#ALL],[ID арендатора]:[Долг по аренде (руб)]], 8, FALSE),"нет данных")</f>
        <v>0</v>
      </c>
      <c r="G42" s="179"/>
      <c r="H42" s="178">
        <f>IFERROR(VLOOKUP($B42, Февраль_2025[[#ALL],[ID арендатора]:[Долг по аренде (руб)]], 8, FALSE),"нет данных")</f>
        <v>0</v>
      </c>
      <c r="I42" s="180" t="str">
        <f t="shared" si="1"/>
        <v/>
      </c>
      <c r="J42" s="181" t="str">
        <f t="shared" si="2"/>
        <v> </v>
      </c>
      <c r="K42" s="178">
        <f>IFERROR(VLOOKUP($B42, Март_2025[[#ALL],[ID арендатора]:[Долг по аренде (руб)]], 8, FALSE),"нет данных")</f>
        <v>5000</v>
      </c>
      <c r="L42" s="180">
        <f t="shared" si="3"/>
        <v>1</v>
      </c>
      <c r="M42" s="179" t="str">
        <f t="shared" si="4"/>
        <v>📈</v>
      </c>
      <c r="N42" s="182">
        <f>IFERROR(VLOOKUP($B42, 'Апрель_2025'!$B$1:$I$80, 8, FALSE),"нет данных")</f>
        <v>0</v>
      </c>
      <c r="O42" s="180">
        <f t="shared" si="5"/>
        <v>-1</v>
      </c>
      <c r="P42" s="181" t="str">
        <f t="shared" si="6"/>
        <v>📉</v>
      </c>
      <c r="Q42" s="183">
        <f>IFERROR(VLOOKUP($B42, 'Май_2025'!$B$1:$I$80, 8, FALSE),"нет данных")</f>
        <v>0</v>
      </c>
      <c r="R42" s="180" t="str">
        <f t="shared" si="7"/>
        <v/>
      </c>
      <c r="S42" s="181" t="str">
        <f t="shared" si="8"/>
        <v> </v>
      </c>
      <c r="T42" s="184">
        <f>IFERROR(VLOOKUP($B42, 'Июнь_2025'!$B$1:$I$80, 8, FALSE),"нет данных")</f>
        <v>0</v>
      </c>
      <c r="U42" s="180" t="str">
        <f t="shared" si="9"/>
        <v/>
      </c>
      <c r="V42" s="181" t="str">
        <f t="shared" si="10"/>
        <v> </v>
      </c>
    </row>
    <row r="43">
      <c r="A43" s="176" t="s">
        <v>9</v>
      </c>
      <c r="B43" s="149" t="s">
        <v>147</v>
      </c>
      <c r="C43" s="149" t="s">
        <v>148</v>
      </c>
      <c r="D43" s="177" t="s">
        <v>149</v>
      </c>
      <c r="E43" s="178">
        <f>IFERROR(VLOOKUP($B43, Январь_2025[[#ALL],[ID арендатора]:[Долг по аренде (руб)]], 8, FALSE),"нет данных")</f>
        <v>0</v>
      </c>
      <c r="G43" s="179"/>
      <c r="H43" s="178">
        <f>IFERROR(VLOOKUP($B43, Февраль_2025[[#ALL],[ID арендатора]:[Долг по аренде (руб)]], 8, FALSE),"нет данных")</f>
        <v>0</v>
      </c>
      <c r="I43" s="180" t="str">
        <f t="shared" si="1"/>
        <v/>
      </c>
      <c r="J43" s="181" t="str">
        <f t="shared" si="2"/>
        <v> </v>
      </c>
      <c r="K43" s="178">
        <f>IFERROR(VLOOKUP($B43, Март_2025[[#ALL],[ID арендатора]:[Долг по аренде (руб)]], 8, FALSE),"нет данных")</f>
        <v>0</v>
      </c>
      <c r="L43" s="180" t="str">
        <f t="shared" si="3"/>
        <v/>
      </c>
      <c r="M43" s="179" t="str">
        <f t="shared" si="4"/>
        <v> </v>
      </c>
      <c r="N43" s="182">
        <f>IFERROR(VLOOKUP($B43, 'Апрель_2025'!$B$1:$I$80, 8, FALSE),"нет данных")</f>
        <v>0</v>
      </c>
      <c r="O43" s="180" t="str">
        <f t="shared" si="5"/>
        <v/>
      </c>
      <c r="P43" s="181" t="str">
        <f t="shared" si="6"/>
        <v> </v>
      </c>
      <c r="Q43" s="183">
        <f>IFERROR(VLOOKUP($B43, 'Май_2025'!$B$1:$I$80, 8, FALSE),"нет данных")</f>
        <v>0</v>
      </c>
      <c r="R43" s="180" t="str">
        <f t="shared" si="7"/>
        <v/>
      </c>
      <c r="S43" s="181" t="str">
        <f t="shared" si="8"/>
        <v> </v>
      </c>
      <c r="T43" s="184">
        <f>IFERROR(VLOOKUP($B43, 'Июнь_2025'!$B$1:$I$80, 8, FALSE),"нет данных")</f>
        <v>0</v>
      </c>
      <c r="U43" s="180" t="str">
        <f t="shared" si="9"/>
        <v/>
      </c>
      <c r="V43" s="181" t="str">
        <f t="shared" si="10"/>
        <v> </v>
      </c>
    </row>
    <row r="44">
      <c r="A44" s="176" t="s">
        <v>13</v>
      </c>
      <c r="B44" s="149" t="s">
        <v>14</v>
      </c>
      <c r="C44" s="149" t="s">
        <v>15</v>
      </c>
      <c r="D44" s="177" t="s">
        <v>12</v>
      </c>
      <c r="E44" s="178">
        <f>IFERROR(VLOOKUP($B44, Январь_2025[[#ALL],[ID арендатора]:[Долг по аренде (руб)]], 8, FALSE),"нет данных")</f>
        <v>0</v>
      </c>
      <c r="G44" s="179"/>
      <c r="H44" s="178">
        <f>IFERROR(VLOOKUP($B44, Февраль_2025[[#ALL],[ID арендатора]:[Долг по аренде (руб)]], 8, FALSE),"нет данных")</f>
        <v>0</v>
      </c>
      <c r="I44" s="180" t="str">
        <f t="shared" si="1"/>
        <v/>
      </c>
      <c r="J44" s="181" t="str">
        <f t="shared" si="2"/>
        <v> </v>
      </c>
      <c r="K44" s="178">
        <f>IFERROR(VLOOKUP($B44, Март_2025[[#ALL],[ID арендатора]:[Долг по аренде (руб)]], 8, FALSE),"нет данных")</f>
        <v>0</v>
      </c>
      <c r="L44" s="180" t="str">
        <f t="shared" si="3"/>
        <v/>
      </c>
      <c r="M44" s="179" t="str">
        <f t="shared" si="4"/>
        <v> </v>
      </c>
      <c r="N44" s="182">
        <f>IFERROR(VLOOKUP($B44, 'Апрель_2025'!$B$1:$I$80, 8, FALSE),"нет данных")</f>
        <v>0</v>
      </c>
      <c r="O44" s="180" t="str">
        <f t="shared" si="5"/>
        <v/>
      </c>
      <c r="P44" s="181" t="str">
        <f t="shared" si="6"/>
        <v> </v>
      </c>
      <c r="Q44" s="183">
        <f>IFERROR(VLOOKUP($B44, 'Май_2025'!$B$1:$I$80, 8, FALSE),"нет данных")</f>
        <v>0</v>
      </c>
      <c r="R44" s="180" t="str">
        <f t="shared" si="7"/>
        <v/>
      </c>
      <c r="S44" s="181" t="str">
        <f t="shared" si="8"/>
        <v> </v>
      </c>
      <c r="T44" s="184">
        <f>IFERROR(VLOOKUP($B44, 'Июнь_2025'!$B$1:$I$80, 8, FALSE),"нет данных")</f>
        <v>0</v>
      </c>
      <c r="U44" s="180" t="str">
        <f t="shared" si="9"/>
        <v/>
      </c>
      <c r="V44" s="181" t="str">
        <f t="shared" si="10"/>
        <v> </v>
      </c>
    </row>
    <row r="45">
      <c r="A45" s="189" t="s">
        <v>13</v>
      </c>
      <c r="B45" s="149" t="s">
        <v>29</v>
      </c>
      <c r="C45" s="187" t="s">
        <v>30</v>
      </c>
      <c r="D45" s="188" t="s">
        <v>24</v>
      </c>
      <c r="E45" s="178">
        <f>IFERROR(VLOOKUP($B45, Январь_2025[[#ALL],[ID арендатора]:[Долг по аренде (руб)]], 8, FALSE),"нет данных")</f>
        <v>0</v>
      </c>
      <c r="G45" s="179"/>
      <c r="H45" s="178">
        <f>IFERROR(VLOOKUP($B45, Февраль_2025[[#ALL],[ID арендатора]:[Долг по аренде (руб)]], 8, FALSE),"нет данных")</f>
        <v>0</v>
      </c>
      <c r="I45" s="180" t="str">
        <f t="shared" si="1"/>
        <v/>
      </c>
      <c r="J45" s="181" t="str">
        <f t="shared" si="2"/>
        <v> </v>
      </c>
      <c r="K45" s="178">
        <f>IFERROR(VLOOKUP($B45, Март_2025[[#ALL],[ID арендатора]:[Долг по аренде (руб)]], 8, FALSE),"нет данных")</f>
        <v>0</v>
      </c>
      <c r="L45" s="180" t="str">
        <f t="shared" si="3"/>
        <v/>
      </c>
      <c r="M45" s="179" t="str">
        <f t="shared" si="4"/>
        <v> </v>
      </c>
      <c r="N45" s="182">
        <f>IFERROR(VLOOKUP($B45, 'Апрель_2025'!$B$1:$I$80, 8, FALSE),"нет данных")</f>
        <v>0</v>
      </c>
      <c r="O45" s="180" t="str">
        <f t="shared" si="5"/>
        <v/>
      </c>
      <c r="P45" s="181" t="str">
        <f t="shared" si="6"/>
        <v> </v>
      </c>
      <c r="Q45" s="183">
        <f>IFERROR(VLOOKUP($B45, 'Май_2025'!$B$1:$I$80, 8, FALSE),"нет данных")</f>
        <v>0</v>
      </c>
      <c r="R45" s="180" t="str">
        <f t="shared" si="7"/>
        <v/>
      </c>
      <c r="S45" s="181" t="str">
        <f t="shared" si="8"/>
        <v> </v>
      </c>
      <c r="T45" s="184">
        <f>IFERROR(VLOOKUP($B45, 'Июнь_2025'!$B$1:$I$80, 8, FALSE),"нет данных")</f>
        <v>0</v>
      </c>
      <c r="U45" s="180" t="str">
        <f t="shared" si="9"/>
        <v/>
      </c>
      <c r="V45" s="181" t="str">
        <f t="shared" si="10"/>
        <v> </v>
      </c>
    </row>
    <row r="46">
      <c r="A46" s="176" t="s">
        <v>13</v>
      </c>
      <c r="B46" s="149" t="s">
        <v>72</v>
      </c>
      <c r="C46" s="149" t="s">
        <v>67</v>
      </c>
      <c r="D46" s="177" t="s">
        <v>65</v>
      </c>
      <c r="E46" s="178">
        <f>IFERROR(VLOOKUP($B46, Январь_2025[[#ALL],[ID арендатора]:[Долг по аренде (руб)]], 8, FALSE),"нет данных")</f>
        <v>0</v>
      </c>
      <c r="G46" s="179"/>
      <c r="H46" s="178">
        <f>IFERROR(VLOOKUP($B46, Февраль_2025[[#ALL],[ID арендатора]:[Долг по аренде (руб)]], 8, FALSE),"нет данных")</f>
        <v>0</v>
      </c>
      <c r="I46" s="180" t="str">
        <f t="shared" si="1"/>
        <v/>
      </c>
      <c r="J46" s="181" t="str">
        <f t="shared" si="2"/>
        <v> </v>
      </c>
      <c r="K46" s="178">
        <f>IFERROR(VLOOKUP($B46, Март_2025[[#ALL],[ID арендатора]:[Долг по аренде (руб)]], 8, FALSE),"нет данных")</f>
        <v>0</v>
      </c>
      <c r="L46" s="180" t="str">
        <f t="shared" si="3"/>
        <v/>
      </c>
      <c r="M46" s="179" t="str">
        <f t="shared" si="4"/>
        <v> </v>
      </c>
      <c r="N46" s="182">
        <f>IFERROR(VLOOKUP($B46, 'Апрель_2025'!$B$1:$I$80, 8, FALSE),"нет данных")</f>
        <v>0</v>
      </c>
      <c r="O46" s="180" t="str">
        <f t="shared" si="5"/>
        <v/>
      </c>
      <c r="P46" s="181" t="str">
        <f t="shared" si="6"/>
        <v> </v>
      </c>
      <c r="Q46" s="183">
        <f>IFERROR(VLOOKUP($B46, 'Май_2025'!$B$1:$I$80, 8, FALSE),"нет данных")</f>
        <v>0</v>
      </c>
      <c r="R46" s="180" t="str">
        <f t="shared" si="7"/>
        <v/>
      </c>
      <c r="S46" s="181" t="str">
        <f t="shared" si="8"/>
        <v> </v>
      </c>
      <c r="T46" s="184">
        <f>IFERROR(VLOOKUP($B46, 'Июнь_2025'!$B$1:$I$80, 8, FALSE),"нет данных")</f>
        <v>0</v>
      </c>
      <c r="U46" s="180" t="str">
        <f t="shared" si="9"/>
        <v/>
      </c>
      <c r="V46" s="181" t="str">
        <f t="shared" si="10"/>
        <v> </v>
      </c>
    </row>
    <row r="47">
      <c r="A47" s="176" t="s">
        <v>13</v>
      </c>
      <c r="B47" s="149" t="s">
        <v>73</v>
      </c>
      <c r="C47" s="185" t="s">
        <v>74</v>
      </c>
      <c r="D47" s="177" t="s">
        <v>65</v>
      </c>
      <c r="E47" s="178">
        <f>IFERROR(VLOOKUP($B47, Январь_2025[[#ALL],[ID арендатора]:[Долг по аренде (руб)]], 8, FALSE),"нет данных")</f>
        <v>0</v>
      </c>
      <c r="G47" s="179"/>
      <c r="H47" s="178">
        <f>IFERROR(VLOOKUP($B47, Февраль_2025[[#ALL],[ID арендатора]:[Долг по аренде (руб)]], 8, FALSE),"нет данных")</f>
        <v>0</v>
      </c>
      <c r="I47" s="180" t="str">
        <f t="shared" si="1"/>
        <v/>
      </c>
      <c r="J47" s="181" t="str">
        <f t="shared" si="2"/>
        <v> </v>
      </c>
      <c r="K47" s="178">
        <f>IFERROR(VLOOKUP($B47, Март_2025[[#ALL],[ID арендатора]:[Долг по аренде (руб)]], 8, FALSE),"нет данных")</f>
        <v>0</v>
      </c>
      <c r="L47" s="180" t="str">
        <f t="shared" si="3"/>
        <v/>
      </c>
      <c r="M47" s="179" t="str">
        <f t="shared" si="4"/>
        <v> </v>
      </c>
      <c r="N47" s="182">
        <f>IFERROR(VLOOKUP($B47, 'Апрель_2025'!$B$1:$I$80, 8, FALSE),"нет данных")</f>
        <v>0</v>
      </c>
      <c r="O47" s="180" t="str">
        <f t="shared" si="5"/>
        <v/>
      </c>
      <c r="P47" s="181" t="str">
        <f t="shared" si="6"/>
        <v> </v>
      </c>
      <c r="Q47" s="183">
        <f>IFERROR(VLOOKUP($B47, 'Май_2025'!$B$1:$I$80, 8, FALSE),"нет данных")</f>
        <v>0</v>
      </c>
      <c r="R47" s="180" t="str">
        <f t="shared" si="7"/>
        <v/>
      </c>
      <c r="S47" s="181" t="str">
        <f t="shared" si="8"/>
        <v> </v>
      </c>
      <c r="T47" s="184">
        <f>IFERROR(VLOOKUP($B47, 'Июнь_2025'!$B$1:$I$80, 8, FALSE),"нет данных")</f>
        <v>0</v>
      </c>
      <c r="U47" s="180" t="str">
        <f t="shared" si="9"/>
        <v/>
      </c>
      <c r="V47" s="181" t="str">
        <f t="shared" si="10"/>
        <v> </v>
      </c>
    </row>
    <row r="48">
      <c r="A48" s="176" t="s">
        <v>13</v>
      </c>
      <c r="B48" s="149" t="s">
        <v>75</v>
      </c>
      <c r="C48" s="185" t="s">
        <v>67</v>
      </c>
      <c r="D48" s="177" t="s">
        <v>65</v>
      </c>
      <c r="E48" s="178">
        <f>IFERROR(VLOOKUP($B48, Январь_2025[[#ALL],[ID арендатора]:[Долг по аренде (руб)]], 8, FALSE),"нет данных")</f>
        <v>0</v>
      </c>
      <c r="G48" s="179"/>
      <c r="H48" s="178">
        <f>IFERROR(VLOOKUP($B48, Февраль_2025[[#ALL],[ID арендатора]:[Долг по аренде (руб)]], 8, FALSE),"нет данных")</f>
        <v>0</v>
      </c>
      <c r="I48" s="180" t="str">
        <f t="shared" si="1"/>
        <v/>
      </c>
      <c r="J48" s="181" t="str">
        <f t="shared" si="2"/>
        <v> </v>
      </c>
      <c r="K48" s="178">
        <f>IFERROR(VLOOKUP($B48, Март_2025[[#ALL],[ID арендатора]:[Долг по аренде (руб)]], 8, FALSE),"нет данных")</f>
        <v>0</v>
      </c>
      <c r="L48" s="180" t="str">
        <f t="shared" si="3"/>
        <v/>
      </c>
      <c r="M48" s="179" t="str">
        <f t="shared" si="4"/>
        <v> </v>
      </c>
      <c r="N48" s="182">
        <f>IFERROR(VLOOKUP($B48, 'Апрель_2025'!$B$1:$I$80, 8, FALSE),"нет данных")</f>
        <v>0</v>
      </c>
      <c r="O48" s="180" t="str">
        <f t="shared" si="5"/>
        <v/>
      </c>
      <c r="P48" s="181" t="str">
        <f t="shared" si="6"/>
        <v> </v>
      </c>
      <c r="Q48" s="183">
        <f>IFERROR(VLOOKUP($B48, 'Май_2025'!$B$1:$I$80, 8, FALSE),"нет данных")</f>
        <v>0</v>
      </c>
      <c r="R48" s="180" t="str">
        <f t="shared" si="7"/>
        <v/>
      </c>
      <c r="S48" s="181" t="str">
        <f t="shared" si="8"/>
        <v> </v>
      </c>
      <c r="T48" s="184">
        <f>IFERROR(VLOOKUP($B48, 'Июнь_2025'!$B$1:$I$80, 8, FALSE),"нет данных")</f>
        <v>0</v>
      </c>
      <c r="U48" s="180" t="str">
        <f t="shared" si="9"/>
        <v/>
      </c>
      <c r="V48" s="181" t="str">
        <f t="shared" si="10"/>
        <v> </v>
      </c>
    </row>
    <row r="49">
      <c r="A49" s="176" t="s">
        <v>13</v>
      </c>
      <c r="B49" s="149" t="s">
        <v>102</v>
      </c>
      <c r="C49" s="185" t="s">
        <v>99</v>
      </c>
      <c r="D49" s="177" t="s">
        <v>93</v>
      </c>
      <c r="E49" s="178">
        <f>IFERROR(VLOOKUP($B49, Январь_2025[[#ALL],[ID арендатора]:[Долг по аренде (руб)]], 8, FALSE),"нет данных")</f>
        <v>0</v>
      </c>
      <c r="G49" s="179"/>
      <c r="H49" s="178">
        <f>IFERROR(VLOOKUP($B49, Февраль_2025[[#ALL],[ID арендатора]:[Долг по аренде (руб)]], 8, FALSE),"нет данных")</f>
        <v>0</v>
      </c>
      <c r="I49" s="180" t="str">
        <f t="shared" si="1"/>
        <v/>
      </c>
      <c r="J49" s="181" t="str">
        <f t="shared" si="2"/>
        <v> </v>
      </c>
      <c r="K49" s="178">
        <f>IFERROR(VLOOKUP($B49, Март_2025[[#ALL],[ID арендатора]:[Долг по аренде (руб)]], 8, FALSE),"нет данных")</f>
        <v>0</v>
      </c>
      <c r="L49" s="180" t="str">
        <f t="shared" si="3"/>
        <v/>
      </c>
      <c r="M49" s="179" t="str">
        <f t="shared" si="4"/>
        <v> </v>
      </c>
      <c r="N49" s="182">
        <f>IFERROR(VLOOKUP($B49, 'Апрель_2025'!$B$1:$I$80, 8, FALSE),"нет данных")</f>
        <v>0</v>
      </c>
      <c r="O49" s="180" t="str">
        <f t="shared" si="5"/>
        <v/>
      </c>
      <c r="P49" s="181" t="str">
        <f t="shared" si="6"/>
        <v> </v>
      </c>
      <c r="Q49" s="183">
        <f>IFERROR(VLOOKUP($B49, 'Май_2025'!$B$1:$I$80, 8, FALSE),"нет данных")</f>
        <v>0</v>
      </c>
      <c r="R49" s="180" t="str">
        <f t="shared" si="7"/>
        <v/>
      </c>
      <c r="S49" s="181" t="str">
        <f t="shared" si="8"/>
        <v> </v>
      </c>
      <c r="T49" s="184">
        <f>IFERROR(VLOOKUP($B49, 'Июнь_2025'!$B$1:$I$80, 8, FALSE),"нет данных")</f>
        <v>0</v>
      </c>
      <c r="U49" s="180" t="str">
        <f t="shared" si="9"/>
        <v/>
      </c>
      <c r="V49" s="181" t="str">
        <f t="shared" si="10"/>
        <v> </v>
      </c>
    </row>
    <row r="50">
      <c r="A50" s="176" t="s">
        <v>13</v>
      </c>
      <c r="B50" s="149" t="s">
        <v>103</v>
      </c>
      <c r="C50" s="185" t="s">
        <v>104</v>
      </c>
      <c r="D50" s="177" t="s">
        <v>93</v>
      </c>
      <c r="E50" s="178">
        <f>IFERROR(VLOOKUP($B50, Январь_2025[[#ALL],[ID арендатора]:[Долг по аренде (руб)]], 8, FALSE),"нет данных")</f>
        <v>0</v>
      </c>
      <c r="G50" s="179"/>
      <c r="H50" s="178">
        <f>IFERROR(VLOOKUP($B50, Февраль_2025[[#ALL],[ID арендатора]:[Долг по аренде (руб)]], 8, FALSE),"нет данных")</f>
        <v>0</v>
      </c>
      <c r="I50" s="180" t="str">
        <f t="shared" si="1"/>
        <v/>
      </c>
      <c r="J50" s="181" t="str">
        <f t="shared" si="2"/>
        <v> </v>
      </c>
      <c r="K50" s="178">
        <f>IFERROR(VLOOKUP($B50, Март_2025[[#ALL],[ID арендатора]:[Долг по аренде (руб)]], 8, FALSE),"нет данных")</f>
        <v>0</v>
      </c>
      <c r="L50" s="180" t="str">
        <f t="shared" si="3"/>
        <v/>
      </c>
      <c r="M50" s="179" t="str">
        <f t="shared" si="4"/>
        <v> </v>
      </c>
      <c r="N50" s="182">
        <f>IFERROR(VLOOKUP($B50, 'Апрель_2025'!$B$1:$I$80, 8, FALSE),"нет данных")</f>
        <v>0</v>
      </c>
      <c r="O50" s="180" t="str">
        <f t="shared" si="5"/>
        <v/>
      </c>
      <c r="P50" s="181" t="str">
        <f t="shared" si="6"/>
        <v> </v>
      </c>
      <c r="Q50" s="183">
        <f>IFERROR(VLOOKUP($B50, 'Май_2025'!$B$1:$I$80, 8, FALSE),"нет данных")</f>
        <v>0</v>
      </c>
      <c r="R50" s="180" t="str">
        <f t="shared" si="7"/>
        <v/>
      </c>
      <c r="S50" s="181" t="str">
        <f t="shared" si="8"/>
        <v> </v>
      </c>
      <c r="T50" s="184">
        <f>IFERROR(VLOOKUP($B50, 'Июнь_2025'!$B$1:$I$80, 8, FALSE),"нет данных")</f>
        <v>40000</v>
      </c>
      <c r="U50" s="180">
        <f t="shared" si="9"/>
        <v>1</v>
      </c>
      <c r="V50" s="181" t="str">
        <f t="shared" si="10"/>
        <v>📈</v>
      </c>
    </row>
    <row r="51">
      <c r="A51" s="176" t="s">
        <v>13</v>
      </c>
      <c r="B51" s="149" t="s">
        <v>105</v>
      </c>
      <c r="C51" s="185" t="s">
        <v>106</v>
      </c>
      <c r="D51" s="177" t="s">
        <v>93</v>
      </c>
      <c r="E51" s="178">
        <f>IFERROR(VLOOKUP($B51, Январь_2025[[#ALL],[ID арендатора]:[Долг по аренде (руб)]], 8, FALSE),"нет данных")</f>
        <v>0</v>
      </c>
      <c r="G51" s="179"/>
      <c r="H51" s="178">
        <f>IFERROR(VLOOKUP($B51, Февраль_2025[[#ALL],[ID арендатора]:[Долг по аренде (руб)]], 8, FALSE),"нет данных")</f>
        <v>0</v>
      </c>
      <c r="I51" s="180" t="str">
        <f t="shared" si="1"/>
        <v/>
      </c>
      <c r="J51" s="181" t="str">
        <f t="shared" si="2"/>
        <v> </v>
      </c>
      <c r="K51" s="178">
        <f>IFERROR(VLOOKUP($B51, Март_2025[[#ALL],[ID арендатора]:[Долг по аренде (руб)]], 8, FALSE),"нет данных")</f>
        <v>0</v>
      </c>
      <c r="L51" s="180" t="str">
        <f t="shared" si="3"/>
        <v/>
      </c>
      <c r="M51" s="179" t="str">
        <f t="shared" si="4"/>
        <v> </v>
      </c>
      <c r="N51" s="182">
        <f>IFERROR(VLOOKUP($B51, 'Апрель_2025'!$B$1:$I$80, 8, FALSE),"нет данных")</f>
        <v>0</v>
      </c>
      <c r="O51" s="180" t="str">
        <f t="shared" si="5"/>
        <v/>
      </c>
      <c r="P51" s="181" t="str">
        <f t="shared" si="6"/>
        <v> </v>
      </c>
      <c r="Q51" s="183">
        <f>IFERROR(VLOOKUP($B51, 'Май_2025'!$B$1:$I$80, 8, FALSE),"нет данных")</f>
        <v>0</v>
      </c>
      <c r="R51" s="180" t="str">
        <f t="shared" si="7"/>
        <v/>
      </c>
      <c r="S51" s="181" t="str">
        <f t="shared" si="8"/>
        <v> </v>
      </c>
      <c r="T51" s="184">
        <f>IFERROR(VLOOKUP($B51, 'Июнь_2025'!$B$1:$I$80, 8, FALSE),"нет данных")</f>
        <v>0</v>
      </c>
      <c r="U51" s="180" t="str">
        <f t="shared" si="9"/>
        <v/>
      </c>
      <c r="V51" s="181" t="str">
        <f t="shared" si="10"/>
        <v> </v>
      </c>
    </row>
    <row r="52">
      <c r="A52" s="176" t="s">
        <v>13</v>
      </c>
      <c r="B52" s="149" t="s">
        <v>122</v>
      </c>
      <c r="C52" s="149" t="s">
        <v>123</v>
      </c>
      <c r="D52" s="177" t="s">
        <v>121</v>
      </c>
      <c r="E52" s="178">
        <f>IFERROR(VLOOKUP($B52, Январь_2025[[#ALL],[ID арендатора]:[Долг по аренде (руб)]], 8, FALSE),"нет данных")</f>
        <v>0</v>
      </c>
      <c r="G52" s="179"/>
      <c r="H52" s="178">
        <f>IFERROR(VLOOKUP($B52, Февраль_2025[[#ALL],[ID арендатора]:[Долг по аренде (руб)]], 8, FALSE),"нет данных")</f>
        <v>0</v>
      </c>
      <c r="I52" s="180" t="str">
        <f t="shared" si="1"/>
        <v/>
      </c>
      <c r="J52" s="181" t="str">
        <f t="shared" si="2"/>
        <v> </v>
      </c>
      <c r="K52" s="178">
        <f>IFERROR(VLOOKUP($B52, Март_2025[[#ALL],[ID арендатора]:[Долг по аренде (руб)]], 8, FALSE),"нет данных")</f>
        <v>0</v>
      </c>
      <c r="L52" s="180" t="str">
        <f t="shared" si="3"/>
        <v/>
      </c>
      <c r="M52" s="179" t="str">
        <f t="shared" si="4"/>
        <v> </v>
      </c>
      <c r="N52" s="182">
        <f>IFERROR(VLOOKUP($B52, 'Апрель_2025'!$B$1:$I$80, 8, FALSE),"нет данных")</f>
        <v>0</v>
      </c>
      <c r="O52" s="180" t="str">
        <f t="shared" si="5"/>
        <v/>
      </c>
      <c r="P52" s="181" t="str">
        <f t="shared" si="6"/>
        <v> </v>
      </c>
      <c r="Q52" s="183">
        <f>IFERROR(VLOOKUP($B52, 'Май_2025'!$B$1:$I$80, 8, FALSE),"нет данных")</f>
        <v>0</v>
      </c>
      <c r="R52" s="180" t="str">
        <f t="shared" si="7"/>
        <v/>
      </c>
      <c r="S52" s="181" t="str">
        <f t="shared" si="8"/>
        <v> </v>
      </c>
      <c r="T52" s="184">
        <f>IFERROR(VLOOKUP($B52, 'Июнь_2025'!$B$1:$I$80, 8, FALSE),"нет данных")</f>
        <v>0</v>
      </c>
      <c r="U52" s="180" t="str">
        <f t="shared" si="9"/>
        <v/>
      </c>
      <c r="V52" s="181" t="str">
        <f t="shared" si="10"/>
        <v> </v>
      </c>
    </row>
    <row r="53">
      <c r="A53" s="176" t="s">
        <v>13</v>
      </c>
      <c r="B53" s="149" t="s">
        <v>131</v>
      </c>
      <c r="C53" s="149" t="s">
        <v>132</v>
      </c>
      <c r="D53" s="177" t="s">
        <v>130</v>
      </c>
      <c r="E53" s="178">
        <f>IFERROR(VLOOKUP($B53, Январь_2025[[#ALL],[ID арендатора]:[Долг по аренде (руб)]], 8, FALSE),"нет данных")</f>
        <v>0</v>
      </c>
      <c r="G53" s="179"/>
      <c r="H53" s="178">
        <f>IFERROR(VLOOKUP($B53, Февраль_2025[[#ALL],[ID арендатора]:[Долг по аренде (руб)]], 8, FALSE),"нет данных")</f>
        <v>0</v>
      </c>
      <c r="I53" s="180" t="str">
        <f t="shared" si="1"/>
        <v/>
      </c>
      <c r="J53" s="181" t="str">
        <f t="shared" si="2"/>
        <v> </v>
      </c>
      <c r="K53" s="178">
        <f>IFERROR(VLOOKUP($B53, Март_2025[[#ALL],[ID арендатора]:[Долг по аренде (руб)]], 8, FALSE),"нет данных")</f>
        <v>60000</v>
      </c>
      <c r="L53" s="180">
        <f t="shared" si="3"/>
        <v>1</v>
      </c>
      <c r="M53" s="179" t="str">
        <f t="shared" si="4"/>
        <v>📈</v>
      </c>
      <c r="N53" s="182">
        <f>IFERROR(VLOOKUP($B53, 'Апрель_2025'!$B$1:$I$80, 8, FALSE),"нет данных")</f>
        <v>0</v>
      </c>
      <c r="O53" s="180">
        <f t="shared" si="5"/>
        <v>-1</v>
      </c>
      <c r="P53" s="181" t="str">
        <f t="shared" si="6"/>
        <v>📉</v>
      </c>
      <c r="Q53" s="183">
        <f>IFERROR(VLOOKUP($B53, 'Май_2025'!$B$1:$I$80, 8, FALSE),"нет данных")</f>
        <v>0</v>
      </c>
      <c r="R53" s="180" t="str">
        <f t="shared" si="7"/>
        <v/>
      </c>
      <c r="S53" s="181" t="str">
        <f t="shared" si="8"/>
        <v> </v>
      </c>
      <c r="T53" s="184">
        <f>IFERROR(VLOOKUP($B53, 'Июнь_2025'!$B$1:$I$80, 8, FALSE),"нет данных")</f>
        <v>0</v>
      </c>
      <c r="U53" s="180" t="str">
        <f t="shared" si="9"/>
        <v/>
      </c>
      <c r="V53" s="181" t="str">
        <f t="shared" si="10"/>
        <v> </v>
      </c>
    </row>
    <row r="54">
      <c r="A54" s="176" t="s">
        <v>13</v>
      </c>
      <c r="B54" s="149" t="s">
        <v>141</v>
      </c>
      <c r="C54" s="149" t="s">
        <v>142</v>
      </c>
      <c r="D54" s="177" t="s">
        <v>140</v>
      </c>
      <c r="E54" s="178">
        <f>IFERROR(VLOOKUP($B54, Январь_2025[[#ALL],[ID арендатора]:[Долг по аренде (руб)]], 8, FALSE),"нет данных")</f>
        <v>0</v>
      </c>
      <c r="G54" s="179"/>
      <c r="H54" s="178">
        <f>IFERROR(VLOOKUP($B54, Февраль_2025[[#ALL],[ID арендатора]:[Долг по аренде (руб)]], 8, FALSE),"нет данных")</f>
        <v>0</v>
      </c>
      <c r="I54" s="180" t="str">
        <f t="shared" si="1"/>
        <v/>
      </c>
      <c r="J54" s="181" t="str">
        <f t="shared" si="2"/>
        <v> </v>
      </c>
      <c r="K54" s="178">
        <f>IFERROR(VLOOKUP($B54, Март_2025[[#ALL],[ID арендатора]:[Долг по аренде (руб)]], 8, FALSE),"нет данных")</f>
        <v>0</v>
      </c>
      <c r="L54" s="180" t="str">
        <f t="shared" si="3"/>
        <v/>
      </c>
      <c r="M54" s="179" t="str">
        <f t="shared" si="4"/>
        <v> </v>
      </c>
      <c r="N54" s="182">
        <f>IFERROR(VLOOKUP($B54, 'Апрель_2025'!$B$1:$I$80, 8, FALSE),"нет данных")</f>
        <v>0</v>
      </c>
      <c r="O54" s="180" t="str">
        <f t="shared" si="5"/>
        <v/>
      </c>
      <c r="P54" s="181" t="str">
        <f t="shared" si="6"/>
        <v> </v>
      </c>
      <c r="Q54" s="183">
        <f>IFERROR(VLOOKUP($B54, 'Май_2025'!$B$1:$I$80, 8, FALSE),"нет данных")</f>
        <v>0</v>
      </c>
      <c r="R54" s="180" t="str">
        <f t="shared" si="7"/>
        <v/>
      </c>
      <c r="S54" s="181" t="str">
        <f t="shared" si="8"/>
        <v> </v>
      </c>
      <c r="T54" s="184">
        <f>IFERROR(VLOOKUP($B54, 'Июнь_2025'!$B$1:$I$80, 8, FALSE),"нет данных")</f>
        <v>0</v>
      </c>
      <c r="U54" s="180" t="str">
        <f t="shared" si="9"/>
        <v/>
      </c>
      <c r="V54" s="181" t="str">
        <f t="shared" si="10"/>
        <v> </v>
      </c>
    </row>
    <row r="55">
      <c r="A55" s="176" t="s">
        <v>13</v>
      </c>
      <c r="B55" s="149" t="s">
        <v>150</v>
      </c>
      <c r="C55" s="149" t="s">
        <v>151</v>
      </c>
      <c r="D55" s="177" t="s">
        <v>149</v>
      </c>
      <c r="E55" s="178">
        <f>IFERROR(VLOOKUP($B55, Январь_2025[[#ALL],[ID арендатора]:[Долг по аренде (руб)]], 8, FALSE),"нет данных")</f>
        <v>0</v>
      </c>
      <c r="G55" s="179"/>
      <c r="H55" s="178">
        <f>IFERROR(VLOOKUP($B55, Февраль_2025[[#ALL],[ID арендатора]:[Долг по аренде (руб)]], 8, FALSE),"нет данных")</f>
        <v>0</v>
      </c>
      <c r="I55" s="180" t="str">
        <f t="shared" si="1"/>
        <v/>
      </c>
      <c r="J55" s="181" t="str">
        <f t="shared" si="2"/>
        <v> </v>
      </c>
      <c r="K55" s="178">
        <f>IFERROR(VLOOKUP($B55, Март_2025[[#ALL],[ID арендатора]:[Долг по аренде (руб)]], 8, FALSE),"нет данных")</f>
        <v>0</v>
      </c>
      <c r="L55" s="180" t="str">
        <f t="shared" si="3"/>
        <v/>
      </c>
      <c r="M55" s="179" t="str">
        <f t="shared" si="4"/>
        <v> </v>
      </c>
      <c r="N55" s="182">
        <f>IFERROR(VLOOKUP($B55, 'Апрель_2025'!$B$1:$I$80, 8, FALSE),"нет данных")</f>
        <v>0</v>
      </c>
      <c r="O55" s="180" t="str">
        <f t="shared" si="5"/>
        <v/>
      </c>
      <c r="P55" s="181" t="str">
        <f t="shared" si="6"/>
        <v> </v>
      </c>
      <c r="Q55" s="183">
        <f>IFERROR(VLOOKUP($B55, 'Май_2025'!$B$1:$I$80, 8, FALSE),"нет данных")</f>
        <v>0</v>
      </c>
      <c r="R55" s="180" t="str">
        <f t="shared" si="7"/>
        <v/>
      </c>
      <c r="S55" s="181" t="str">
        <f t="shared" si="8"/>
        <v> </v>
      </c>
      <c r="T55" s="184">
        <f>IFERROR(VLOOKUP($B55, 'Июнь_2025'!$B$1:$I$80, 8, FALSE),"нет данных")</f>
        <v>0</v>
      </c>
      <c r="U55" s="180" t="str">
        <f t="shared" si="9"/>
        <v/>
      </c>
      <c r="V55" s="181" t="str">
        <f t="shared" si="10"/>
        <v> </v>
      </c>
    </row>
    <row r="56">
      <c r="A56" s="176" t="s">
        <v>16</v>
      </c>
      <c r="B56" s="149" t="s">
        <v>17</v>
      </c>
      <c r="C56" s="149" t="s">
        <v>18</v>
      </c>
      <c r="D56" s="177" t="s">
        <v>12</v>
      </c>
      <c r="E56" s="178">
        <f>IFERROR(VLOOKUP($B56, Январь_2025[[#ALL],[ID арендатора]:[Долг по аренде (руб)]], 8, FALSE),"нет данных")</f>
        <v>0</v>
      </c>
      <c r="G56" s="179"/>
      <c r="H56" s="178">
        <f>IFERROR(VLOOKUP($B56, Февраль_2025[[#ALL],[ID арендатора]:[Долг по аренде (руб)]], 8, FALSE),"нет данных")</f>
        <v>0</v>
      </c>
      <c r="I56" s="180" t="str">
        <f t="shared" si="1"/>
        <v/>
      </c>
      <c r="J56" s="181" t="str">
        <f t="shared" si="2"/>
        <v> </v>
      </c>
      <c r="K56" s="178">
        <f>IFERROR(VLOOKUP($B56, Март_2025[[#ALL],[ID арендатора]:[Долг по аренде (руб)]], 8, FALSE),"нет данных")</f>
        <v>0</v>
      </c>
      <c r="L56" s="180" t="str">
        <f t="shared" si="3"/>
        <v/>
      </c>
      <c r="M56" s="179" t="str">
        <f t="shared" si="4"/>
        <v> </v>
      </c>
      <c r="N56" s="182">
        <f>IFERROR(VLOOKUP($B56, 'Апрель_2025'!$B$1:$I$80, 8, FALSE),"нет данных")</f>
        <v>0</v>
      </c>
      <c r="O56" s="180" t="str">
        <f t="shared" si="5"/>
        <v/>
      </c>
      <c r="P56" s="181" t="str">
        <f t="shared" si="6"/>
        <v> </v>
      </c>
      <c r="Q56" s="183">
        <f>IFERROR(VLOOKUP($B56, 'Май_2025'!$B$1:$I$80, 8, FALSE),"нет данных")</f>
        <v>0</v>
      </c>
      <c r="R56" s="180" t="str">
        <f t="shared" si="7"/>
        <v/>
      </c>
      <c r="S56" s="181" t="str">
        <f t="shared" si="8"/>
        <v> </v>
      </c>
      <c r="T56" s="184">
        <f>IFERROR(VLOOKUP($B56, 'Июнь_2025'!$B$1:$I$80, 8, FALSE),"нет данных")</f>
        <v>0</v>
      </c>
      <c r="U56" s="180" t="str">
        <f t="shared" si="9"/>
        <v/>
      </c>
      <c r="V56" s="181" t="str">
        <f t="shared" si="10"/>
        <v> </v>
      </c>
    </row>
    <row r="57">
      <c r="A57" s="176" t="s">
        <v>16</v>
      </c>
      <c r="B57" s="149" t="s">
        <v>31</v>
      </c>
      <c r="C57" s="149" t="s">
        <v>26</v>
      </c>
      <c r="D57" s="177" t="s">
        <v>24</v>
      </c>
      <c r="E57" s="178">
        <f>IFERROR(VLOOKUP($B57, Январь_2025[[#ALL],[ID арендатора]:[Долг по аренде (руб)]], 8, FALSE),"нет данных")</f>
        <v>0</v>
      </c>
      <c r="G57" s="179"/>
      <c r="H57" s="178">
        <f>IFERROR(VLOOKUP($B57, Февраль_2025[[#ALL],[ID арендатора]:[Долг по аренде (руб)]], 8, FALSE),"нет данных")</f>
        <v>0</v>
      </c>
      <c r="I57" s="180" t="str">
        <f t="shared" si="1"/>
        <v/>
      </c>
      <c r="J57" s="181" t="str">
        <f t="shared" si="2"/>
        <v> </v>
      </c>
      <c r="K57" s="178">
        <f>IFERROR(VLOOKUP($B57, Март_2025[[#ALL],[ID арендатора]:[Долг по аренде (руб)]], 8, FALSE),"нет данных")</f>
        <v>0</v>
      </c>
      <c r="L57" s="180" t="str">
        <f t="shared" si="3"/>
        <v/>
      </c>
      <c r="M57" s="179" t="str">
        <f t="shared" si="4"/>
        <v> </v>
      </c>
      <c r="N57" s="182">
        <f>IFERROR(VLOOKUP($B57, 'Апрель_2025'!$B$1:$I$80, 8, FALSE),"нет данных")</f>
        <v>0</v>
      </c>
      <c r="O57" s="180" t="str">
        <f t="shared" si="5"/>
        <v/>
      </c>
      <c r="P57" s="181" t="str">
        <f t="shared" si="6"/>
        <v> </v>
      </c>
      <c r="Q57" s="183">
        <f>IFERROR(VLOOKUP($B57, 'Май_2025'!$B$1:$I$80, 8, FALSE),"нет данных")</f>
        <v>0</v>
      </c>
      <c r="R57" s="180" t="str">
        <f t="shared" si="7"/>
        <v/>
      </c>
      <c r="S57" s="181" t="str">
        <f t="shared" si="8"/>
        <v> </v>
      </c>
      <c r="T57" s="184">
        <f>IFERROR(VLOOKUP($B57, 'Июнь_2025'!$B$1:$I$80, 8, FALSE),"нет данных")</f>
        <v>0</v>
      </c>
      <c r="U57" s="180" t="str">
        <f t="shared" si="9"/>
        <v/>
      </c>
      <c r="V57" s="181" t="str">
        <f t="shared" si="10"/>
        <v> </v>
      </c>
    </row>
    <row r="58">
      <c r="A58" s="190" t="s">
        <v>16</v>
      </c>
      <c r="B58" s="149" t="s">
        <v>32</v>
      </c>
      <c r="C58" s="185" t="s">
        <v>33</v>
      </c>
      <c r="D58" s="188" t="s">
        <v>24</v>
      </c>
      <c r="E58" s="178">
        <f>IFERROR(VLOOKUP($B58, Январь_2025[[#ALL],[ID арендатора]:[Долг по аренде (руб)]], 8, FALSE),"нет данных")</f>
        <v>0</v>
      </c>
      <c r="G58" s="179"/>
      <c r="H58" s="178">
        <f>IFERROR(VLOOKUP($B58, Февраль_2025[[#ALL],[ID арендатора]:[Долг по аренде (руб)]], 8, FALSE),"нет данных")</f>
        <v>0</v>
      </c>
      <c r="I58" s="180" t="str">
        <f t="shared" si="1"/>
        <v/>
      </c>
      <c r="J58" s="181" t="str">
        <f t="shared" si="2"/>
        <v> </v>
      </c>
      <c r="K58" s="178">
        <f>IFERROR(VLOOKUP($B58, Март_2025[[#ALL],[ID арендатора]:[Долг по аренде (руб)]], 8, FALSE),"нет данных")</f>
        <v>0</v>
      </c>
      <c r="L58" s="180" t="str">
        <f t="shared" si="3"/>
        <v/>
      </c>
      <c r="M58" s="179" t="str">
        <f t="shared" si="4"/>
        <v> </v>
      </c>
      <c r="N58" s="182">
        <f>IFERROR(VLOOKUP($B58, 'Апрель_2025'!$B$1:$I$80, 8, FALSE),"нет данных")</f>
        <v>0</v>
      </c>
      <c r="O58" s="180" t="str">
        <f t="shared" si="5"/>
        <v/>
      </c>
      <c r="P58" s="181" t="str">
        <f t="shared" si="6"/>
        <v> </v>
      </c>
      <c r="Q58" s="183">
        <f>IFERROR(VLOOKUP($B58, 'Май_2025'!$B$1:$I$80, 8, FALSE),"нет данных")</f>
        <v>0</v>
      </c>
      <c r="R58" s="180" t="str">
        <f t="shared" si="7"/>
        <v/>
      </c>
      <c r="S58" s="181" t="str">
        <f t="shared" si="8"/>
        <v> </v>
      </c>
      <c r="T58" s="184">
        <f>IFERROR(VLOOKUP($B58, 'Июнь_2025'!$B$1:$I$80, 8, FALSE),"нет данных")</f>
        <v>0</v>
      </c>
      <c r="U58" s="180" t="str">
        <f t="shared" si="9"/>
        <v/>
      </c>
      <c r="V58" s="181" t="str">
        <f t="shared" si="10"/>
        <v> </v>
      </c>
    </row>
    <row r="59">
      <c r="A59" s="176" t="s">
        <v>16</v>
      </c>
      <c r="B59" s="149" t="s">
        <v>47</v>
      </c>
      <c r="C59" s="149" t="s">
        <v>48</v>
      </c>
      <c r="D59" s="177" t="s">
        <v>40</v>
      </c>
      <c r="E59" s="178">
        <f>IFERROR(VLOOKUP($B59, Январь_2025[[#ALL],[ID арендатора]:[Долг по аренде (руб)]], 8, FALSE),"нет данных")</f>
        <v>0</v>
      </c>
      <c r="G59" s="179"/>
      <c r="H59" s="178">
        <f>IFERROR(VLOOKUP($B59, Февраль_2025[[#ALL],[ID арендатора]:[Долг по аренде (руб)]], 8, FALSE),"нет данных")</f>
        <v>0</v>
      </c>
      <c r="I59" s="180" t="str">
        <f t="shared" si="1"/>
        <v/>
      </c>
      <c r="J59" s="181" t="str">
        <f t="shared" si="2"/>
        <v> </v>
      </c>
      <c r="K59" s="178">
        <f>IFERROR(VLOOKUP($B59, Март_2025[[#ALL],[ID арендатора]:[Долг по аренде (руб)]], 8, FALSE),"нет данных")</f>
        <v>0</v>
      </c>
      <c r="L59" s="180" t="str">
        <f t="shared" si="3"/>
        <v/>
      </c>
      <c r="M59" s="179" t="str">
        <f t="shared" si="4"/>
        <v> </v>
      </c>
      <c r="N59" s="182">
        <f>IFERROR(VLOOKUP($B59, 'Апрель_2025'!$B$1:$I$80, 8, FALSE),"нет данных")</f>
        <v>0</v>
      </c>
      <c r="O59" s="180" t="str">
        <f t="shared" si="5"/>
        <v/>
      </c>
      <c r="P59" s="181" t="str">
        <f t="shared" si="6"/>
        <v> </v>
      </c>
      <c r="Q59" s="183">
        <f>IFERROR(VLOOKUP($B59, 'Май_2025'!$B$1:$I$80, 8, FALSE),"нет данных")</f>
        <v>0</v>
      </c>
      <c r="R59" s="180" t="str">
        <f t="shared" si="7"/>
        <v/>
      </c>
      <c r="S59" s="181" t="str">
        <f t="shared" si="8"/>
        <v> </v>
      </c>
      <c r="T59" s="184">
        <f>IFERROR(VLOOKUP($B59, 'Июнь_2025'!$B$1:$I$80, 8, FALSE),"нет данных")</f>
        <v>0</v>
      </c>
      <c r="U59" s="180" t="str">
        <f t="shared" si="9"/>
        <v/>
      </c>
      <c r="V59" s="181" t="str">
        <f t="shared" si="10"/>
        <v> </v>
      </c>
    </row>
    <row r="60">
      <c r="A60" s="176" t="s">
        <v>16</v>
      </c>
      <c r="B60" s="149" t="s">
        <v>55</v>
      </c>
      <c r="C60" s="149" t="s">
        <v>56</v>
      </c>
      <c r="D60" s="177" t="s">
        <v>57</v>
      </c>
      <c r="E60" s="178">
        <f>IFERROR(VLOOKUP($B60, Январь_2025[[#ALL],[ID арендатора]:[Долг по аренде (руб)]], 8, FALSE),"нет данных")</f>
        <v>0</v>
      </c>
      <c r="G60" s="179"/>
      <c r="H60" s="178">
        <f>IFERROR(VLOOKUP($B60, Февраль_2025[[#ALL],[ID арендатора]:[Долг по аренде (руб)]], 8, FALSE),"нет данных")</f>
        <v>0</v>
      </c>
      <c r="I60" s="180" t="str">
        <f t="shared" si="1"/>
        <v/>
      </c>
      <c r="J60" s="181" t="str">
        <f t="shared" si="2"/>
        <v> </v>
      </c>
      <c r="K60" s="178">
        <f>IFERROR(VLOOKUP($B60, Март_2025[[#ALL],[ID арендатора]:[Долг по аренде (руб)]], 8, FALSE),"нет данных")</f>
        <v>0</v>
      </c>
      <c r="L60" s="180" t="str">
        <f t="shared" si="3"/>
        <v/>
      </c>
      <c r="M60" s="179" t="str">
        <f t="shared" si="4"/>
        <v> </v>
      </c>
      <c r="N60" s="182">
        <f>IFERROR(VLOOKUP($B60, 'Апрель_2025'!$B$1:$I$80, 8, FALSE),"нет данных")</f>
        <v>0</v>
      </c>
      <c r="O60" s="180" t="str">
        <f t="shared" si="5"/>
        <v/>
      </c>
      <c r="P60" s="181" t="str">
        <f t="shared" si="6"/>
        <v> </v>
      </c>
      <c r="Q60" s="183">
        <f>IFERROR(VLOOKUP($B60, 'Май_2025'!$B$1:$I$80, 8, FALSE),"нет данных")</f>
        <v>0</v>
      </c>
      <c r="R60" s="180" t="str">
        <f t="shared" si="7"/>
        <v/>
      </c>
      <c r="S60" s="181" t="str">
        <f t="shared" si="8"/>
        <v> </v>
      </c>
      <c r="T60" s="184">
        <f>IFERROR(VLOOKUP($B60, 'Июнь_2025'!$B$1:$I$80, 8, FALSE),"нет данных")</f>
        <v>0</v>
      </c>
      <c r="U60" s="180" t="str">
        <f t="shared" si="9"/>
        <v/>
      </c>
      <c r="V60" s="181" t="str">
        <f t="shared" si="10"/>
        <v> </v>
      </c>
    </row>
    <row r="61">
      <c r="A61" s="176" t="s">
        <v>16</v>
      </c>
      <c r="B61" s="149" t="s">
        <v>58</v>
      </c>
      <c r="C61" s="185" t="s">
        <v>59</v>
      </c>
      <c r="D61" s="177" t="s">
        <v>57</v>
      </c>
      <c r="E61" s="178">
        <f>IFERROR(VLOOKUP($B61, Январь_2025[[#ALL],[ID арендатора]:[Долг по аренде (руб)]], 8, FALSE),"нет данных")</f>
        <v>0</v>
      </c>
      <c r="G61" s="179"/>
      <c r="H61" s="178">
        <f>IFERROR(VLOOKUP($B61, Февраль_2025[[#ALL],[ID арендатора]:[Долг по аренде (руб)]], 8, FALSE),"нет данных")</f>
        <v>0</v>
      </c>
      <c r="I61" s="180" t="str">
        <f t="shared" si="1"/>
        <v/>
      </c>
      <c r="J61" s="181" t="str">
        <f t="shared" si="2"/>
        <v> </v>
      </c>
      <c r="K61" s="178">
        <f>IFERROR(VLOOKUP($B61, Март_2025[[#ALL],[ID арендатора]:[Долг по аренде (руб)]], 8, FALSE),"нет данных")</f>
        <v>0</v>
      </c>
      <c r="L61" s="180" t="str">
        <f t="shared" si="3"/>
        <v/>
      </c>
      <c r="M61" s="179" t="str">
        <f t="shared" si="4"/>
        <v> </v>
      </c>
      <c r="N61" s="182">
        <f>IFERROR(VLOOKUP($B61, 'Апрель_2025'!$B$1:$I$80, 8, FALSE),"нет данных")</f>
        <v>0</v>
      </c>
      <c r="O61" s="180" t="str">
        <f t="shared" si="5"/>
        <v/>
      </c>
      <c r="P61" s="181" t="str">
        <f t="shared" si="6"/>
        <v> </v>
      </c>
      <c r="Q61" s="183">
        <f>IFERROR(VLOOKUP($B61, 'Май_2025'!$B$1:$I$80, 8, FALSE),"нет данных")</f>
        <v>0</v>
      </c>
      <c r="R61" s="180" t="str">
        <f t="shared" si="7"/>
        <v/>
      </c>
      <c r="S61" s="181" t="str">
        <f t="shared" si="8"/>
        <v> </v>
      </c>
      <c r="T61" s="184">
        <f>IFERROR(VLOOKUP($B61, 'Июнь_2025'!$B$1:$I$80, 8, FALSE),"нет данных")</f>
        <v>0</v>
      </c>
      <c r="U61" s="180" t="str">
        <f t="shared" si="9"/>
        <v/>
      </c>
      <c r="V61" s="181" t="str">
        <f t="shared" si="10"/>
        <v> </v>
      </c>
    </row>
    <row r="62">
      <c r="A62" s="176" t="s">
        <v>16</v>
      </c>
      <c r="B62" s="149" t="s">
        <v>80</v>
      </c>
      <c r="C62" s="149" t="s">
        <v>81</v>
      </c>
      <c r="D62" s="177" t="s">
        <v>65</v>
      </c>
      <c r="E62" s="178">
        <f>IFERROR(VLOOKUP($B62, Январь_2025[[#ALL],[ID арендатора]:[Долг по аренде (руб)]], 8, FALSE),"нет данных")</f>
        <v>0</v>
      </c>
      <c r="G62" s="179"/>
      <c r="H62" s="178">
        <f>IFERROR(VLOOKUP($B62, Февраль_2025[[#ALL],[ID арендатора]:[Долг по аренде (руб)]], 8, FALSE),"нет данных")</f>
        <v>0</v>
      </c>
      <c r="I62" s="180" t="str">
        <f t="shared" si="1"/>
        <v/>
      </c>
      <c r="J62" s="181" t="str">
        <f t="shared" si="2"/>
        <v> </v>
      </c>
      <c r="K62" s="178">
        <f>IFERROR(VLOOKUP($B62, Март_2025[[#ALL],[ID арендатора]:[Долг по аренде (руб)]], 8, FALSE),"нет данных")</f>
        <v>0</v>
      </c>
      <c r="L62" s="180" t="str">
        <f t="shared" si="3"/>
        <v/>
      </c>
      <c r="M62" s="179" t="str">
        <f t="shared" si="4"/>
        <v> </v>
      </c>
      <c r="N62" s="182">
        <f>IFERROR(VLOOKUP($B62, 'Апрель_2025'!$B$1:$I$80, 8, FALSE),"нет данных")</f>
        <v>0</v>
      </c>
      <c r="O62" s="180" t="str">
        <f t="shared" si="5"/>
        <v/>
      </c>
      <c r="P62" s="181" t="str">
        <f t="shared" si="6"/>
        <v> </v>
      </c>
      <c r="Q62" s="183">
        <f>IFERROR(VLOOKUP($B62, 'Май_2025'!$B$1:$I$80, 8, FALSE),"нет данных")</f>
        <v>0</v>
      </c>
      <c r="R62" s="180" t="str">
        <f t="shared" si="7"/>
        <v/>
      </c>
      <c r="S62" s="181" t="str">
        <f t="shared" si="8"/>
        <v> </v>
      </c>
      <c r="T62" s="184">
        <f>IFERROR(VLOOKUP($B62, 'Июнь_2025'!$B$1:$I$80, 8, FALSE),"нет данных")</f>
        <v>0</v>
      </c>
      <c r="U62" s="180" t="str">
        <f t="shared" si="9"/>
        <v/>
      </c>
      <c r="V62" s="181" t="str">
        <f t="shared" si="10"/>
        <v> </v>
      </c>
    </row>
    <row r="63">
      <c r="A63" s="176" t="s">
        <v>16</v>
      </c>
      <c r="B63" s="149" t="s">
        <v>107</v>
      </c>
      <c r="C63" s="149" t="s">
        <v>108</v>
      </c>
      <c r="D63" s="177" t="s">
        <v>93</v>
      </c>
      <c r="E63" s="178">
        <f>IFERROR(VLOOKUP($B63, Январь_2025[[#ALL],[ID арендатора]:[Долг по аренде (руб)]], 8, FALSE),"нет данных")</f>
        <v>0</v>
      </c>
      <c r="G63" s="179"/>
      <c r="H63" s="178">
        <f>IFERROR(VLOOKUP($B63, Февраль_2025[[#ALL],[ID арендатора]:[Долг по аренде (руб)]], 8, FALSE),"нет данных")</f>
        <v>0</v>
      </c>
      <c r="I63" s="180" t="str">
        <f t="shared" si="1"/>
        <v/>
      </c>
      <c r="J63" s="181" t="str">
        <f t="shared" si="2"/>
        <v> </v>
      </c>
      <c r="K63" s="178">
        <f>IFERROR(VLOOKUP($B63, Март_2025[[#ALL],[ID арендатора]:[Долг по аренде (руб)]], 8, FALSE),"нет данных")</f>
        <v>0</v>
      </c>
      <c r="L63" s="180" t="str">
        <f t="shared" si="3"/>
        <v/>
      </c>
      <c r="M63" s="179" t="str">
        <f t="shared" si="4"/>
        <v> </v>
      </c>
      <c r="N63" s="182">
        <f>IFERROR(VLOOKUP($B63, 'Апрель_2025'!$B$1:$I$80, 8, FALSE),"нет данных")</f>
        <v>0</v>
      </c>
      <c r="O63" s="180" t="str">
        <f t="shared" si="5"/>
        <v/>
      </c>
      <c r="P63" s="181" t="str">
        <f t="shared" si="6"/>
        <v> </v>
      </c>
      <c r="Q63" s="183">
        <f>IFERROR(VLOOKUP($B63, 'Май_2025'!$B$1:$I$80, 8, FALSE),"нет данных")</f>
        <v>0</v>
      </c>
      <c r="R63" s="180" t="str">
        <f t="shared" si="7"/>
        <v/>
      </c>
      <c r="S63" s="181" t="str">
        <f t="shared" si="8"/>
        <v> </v>
      </c>
      <c r="T63" s="184">
        <f>IFERROR(VLOOKUP($B63, 'Июнь_2025'!$B$1:$I$80, 8, FALSE),"нет данных")</f>
        <v>0</v>
      </c>
      <c r="U63" s="180" t="str">
        <f t="shared" si="9"/>
        <v/>
      </c>
      <c r="V63" s="181" t="str">
        <f t="shared" si="10"/>
        <v> </v>
      </c>
    </row>
    <row r="64">
      <c r="A64" s="176" t="s">
        <v>16</v>
      </c>
      <c r="B64" s="149" t="s">
        <v>110</v>
      </c>
      <c r="C64" s="149" t="s">
        <v>111</v>
      </c>
      <c r="D64" s="177" t="s">
        <v>93</v>
      </c>
      <c r="E64" s="178">
        <f>IFERROR(VLOOKUP($B64, Январь_2025[[#ALL],[ID арендатора]:[Долг по аренде (руб)]], 8, FALSE),"нет данных")</f>
        <v>0</v>
      </c>
      <c r="G64" s="179"/>
      <c r="H64" s="178">
        <f>IFERROR(VLOOKUP($B64, Февраль_2025[[#ALL],[ID арендатора]:[Долг по аренде (руб)]], 8, FALSE),"нет данных")</f>
        <v>0</v>
      </c>
      <c r="I64" s="180" t="str">
        <f t="shared" si="1"/>
        <v/>
      </c>
      <c r="J64" s="181" t="str">
        <f t="shared" si="2"/>
        <v> </v>
      </c>
      <c r="K64" s="178">
        <f>IFERROR(VLOOKUP($B64, Март_2025[[#ALL],[ID арендатора]:[Долг по аренде (руб)]], 8, FALSE),"нет данных")</f>
        <v>0</v>
      </c>
      <c r="L64" s="180" t="str">
        <f t="shared" si="3"/>
        <v/>
      </c>
      <c r="M64" s="179" t="str">
        <f t="shared" si="4"/>
        <v> </v>
      </c>
      <c r="N64" s="182">
        <f>IFERROR(VLOOKUP($B64, 'Апрель_2025'!$B$1:$I$80, 8, FALSE),"нет данных")</f>
        <v>0</v>
      </c>
      <c r="O64" s="180" t="str">
        <f t="shared" si="5"/>
        <v/>
      </c>
      <c r="P64" s="181" t="str">
        <f t="shared" si="6"/>
        <v> </v>
      </c>
      <c r="Q64" s="183">
        <f>IFERROR(VLOOKUP($B64, 'Май_2025'!$B$1:$I$80, 8, FALSE),"нет данных")</f>
        <v>0</v>
      </c>
      <c r="R64" s="180" t="str">
        <f t="shared" si="7"/>
        <v/>
      </c>
      <c r="S64" s="181" t="str">
        <f t="shared" si="8"/>
        <v> </v>
      </c>
      <c r="T64" s="184">
        <f>IFERROR(VLOOKUP($B64, 'Июнь_2025'!$B$1:$I$80, 8, FALSE),"нет данных")</f>
        <v>1500</v>
      </c>
      <c r="U64" s="180">
        <f t="shared" si="9"/>
        <v>1</v>
      </c>
      <c r="V64" s="181" t="str">
        <f t="shared" si="10"/>
        <v>📈</v>
      </c>
    </row>
    <row r="65">
      <c r="A65" s="176" t="s">
        <v>16</v>
      </c>
      <c r="B65" s="149" t="s">
        <v>133</v>
      </c>
      <c r="C65" s="149" t="s">
        <v>134</v>
      </c>
      <c r="D65" s="177" t="s">
        <v>130</v>
      </c>
      <c r="E65" s="178">
        <f>IFERROR(VLOOKUP($B65, Январь_2025[[#ALL],[ID арендатора]:[Долг по аренде (руб)]], 8, FALSE),"нет данных")</f>
        <v>0</v>
      </c>
      <c r="G65" s="179"/>
      <c r="H65" s="178">
        <f>IFERROR(VLOOKUP($B65, Февраль_2025[[#ALL],[ID арендатора]:[Долг по аренде (руб)]], 8, FALSE),"нет данных")</f>
        <v>0</v>
      </c>
      <c r="I65" s="180" t="str">
        <f t="shared" si="1"/>
        <v/>
      </c>
      <c r="J65" s="181" t="str">
        <f t="shared" si="2"/>
        <v> </v>
      </c>
      <c r="K65" s="178">
        <f>IFERROR(VLOOKUP($B65, Март_2025[[#ALL],[ID арендатора]:[Долг по аренде (руб)]], 8, FALSE),"нет данных")</f>
        <v>0</v>
      </c>
      <c r="L65" s="180" t="str">
        <f t="shared" si="3"/>
        <v/>
      </c>
      <c r="M65" s="179" t="str">
        <f t="shared" si="4"/>
        <v> </v>
      </c>
      <c r="N65" s="182">
        <f>IFERROR(VLOOKUP($B65, 'Апрель_2025'!$B$1:$I$80, 8, FALSE),"нет данных")</f>
        <v>0</v>
      </c>
      <c r="O65" s="180" t="str">
        <f t="shared" si="5"/>
        <v/>
      </c>
      <c r="P65" s="181" t="str">
        <f t="shared" si="6"/>
        <v> </v>
      </c>
      <c r="Q65" s="183">
        <f>IFERROR(VLOOKUP($B65, 'Май_2025'!$B$1:$I$80, 8, FALSE),"нет данных")</f>
        <v>0</v>
      </c>
      <c r="R65" s="180" t="str">
        <f t="shared" si="7"/>
        <v/>
      </c>
      <c r="S65" s="181" t="str">
        <f t="shared" si="8"/>
        <v> </v>
      </c>
      <c r="T65" s="184">
        <f>IFERROR(VLOOKUP($B65, 'Июнь_2025'!$B$1:$I$80, 8, FALSE),"нет данных")</f>
        <v>0</v>
      </c>
      <c r="U65" s="180" t="str">
        <f t="shared" si="9"/>
        <v/>
      </c>
      <c r="V65" s="181" t="str">
        <f t="shared" si="10"/>
        <v> </v>
      </c>
    </row>
    <row r="66">
      <c r="A66" s="176" t="s">
        <v>16</v>
      </c>
      <c r="B66" s="149" t="s">
        <v>152</v>
      </c>
      <c r="C66" s="149" t="s">
        <v>153</v>
      </c>
      <c r="D66" s="177" t="s">
        <v>149</v>
      </c>
      <c r="E66" s="178">
        <f>IFERROR(VLOOKUP($B66, Январь_2025[[#ALL],[ID арендатора]:[Долг по аренде (руб)]], 8, FALSE),"нет данных")</f>
        <v>0</v>
      </c>
      <c r="G66" s="179"/>
      <c r="H66" s="178">
        <f>IFERROR(VLOOKUP($B66, Февраль_2025[[#ALL],[ID арендатора]:[Долг по аренде (руб)]], 8, FALSE),"нет данных")</f>
        <v>0</v>
      </c>
      <c r="I66" s="180" t="str">
        <f t="shared" si="1"/>
        <v/>
      </c>
      <c r="J66" s="181" t="str">
        <f t="shared" si="2"/>
        <v> </v>
      </c>
      <c r="K66" s="178">
        <f>IFERROR(VLOOKUP($B66, Март_2025[[#ALL],[ID арендатора]:[Долг по аренде (руб)]], 8, FALSE),"нет данных")</f>
        <v>0</v>
      </c>
      <c r="L66" s="180" t="str">
        <f t="shared" si="3"/>
        <v/>
      </c>
      <c r="M66" s="179" t="str">
        <f t="shared" si="4"/>
        <v> </v>
      </c>
      <c r="N66" s="182">
        <f>IFERROR(VLOOKUP($B66, 'Апрель_2025'!$B$1:$I$80, 8, FALSE),"нет данных")</f>
        <v>0</v>
      </c>
      <c r="O66" s="180" t="str">
        <f t="shared" si="5"/>
        <v/>
      </c>
      <c r="P66" s="181" t="str">
        <f t="shared" si="6"/>
        <v> </v>
      </c>
      <c r="Q66" s="183">
        <f>IFERROR(VLOOKUP($B66, 'Май_2025'!$B$1:$I$80, 8, FALSE),"нет данных")</f>
        <v>0</v>
      </c>
      <c r="R66" s="180" t="str">
        <f t="shared" si="7"/>
        <v/>
      </c>
      <c r="S66" s="181" t="str">
        <f t="shared" si="8"/>
        <v> </v>
      </c>
      <c r="T66" s="184">
        <f>IFERROR(VLOOKUP($B66, 'Июнь_2025'!$B$1:$I$80, 8, FALSE),"нет данных")</f>
        <v>0</v>
      </c>
      <c r="U66" s="180" t="str">
        <f t="shared" si="9"/>
        <v/>
      </c>
      <c r="V66" s="181" t="str">
        <f t="shared" si="10"/>
        <v> </v>
      </c>
    </row>
    <row r="67">
      <c r="A67" s="176" t="s">
        <v>16</v>
      </c>
      <c r="B67" s="149" t="s">
        <v>161</v>
      </c>
      <c r="C67" s="149" t="s">
        <v>162</v>
      </c>
      <c r="D67" s="177" t="s">
        <v>158</v>
      </c>
      <c r="E67" s="178">
        <f>IFERROR(VLOOKUP($B67, Январь_2025[[#ALL],[ID арендатора]:[Долг по аренде (руб)]], 8, FALSE),"нет данных")</f>
        <v>0</v>
      </c>
      <c r="G67" s="179"/>
      <c r="H67" s="178">
        <f>IFERROR(VLOOKUP($B67, Февраль_2025[[#ALL],[ID арендатора]:[Долг по аренде (руб)]], 8, FALSE),"нет данных")</f>
        <v>0</v>
      </c>
      <c r="I67" s="180" t="str">
        <f t="shared" si="1"/>
        <v/>
      </c>
      <c r="J67" s="181" t="str">
        <f t="shared" si="2"/>
        <v> </v>
      </c>
      <c r="K67" s="178">
        <f>IFERROR(VLOOKUP($B67, Март_2025[[#ALL],[ID арендатора]:[Долг по аренде (руб)]], 8, FALSE),"нет данных")</f>
        <v>25000</v>
      </c>
      <c r="L67" s="180">
        <f t="shared" si="3"/>
        <v>1</v>
      </c>
      <c r="M67" s="179" t="str">
        <f t="shared" si="4"/>
        <v>📈</v>
      </c>
      <c r="N67" s="182">
        <f>IFERROR(VLOOKUP($B67, 'Апрель_2025'!$B$1:$I$80, 8, FALSE),"нет данных")</f>
        <v>0</v>
      </c>
      <c r="O67" s="180">
        <f t="shared" si="5"/>
        <v>-1</v>
      </c>
      <c r="P67" s="181" t="str">
        <f t="shared" si="6"/>
        <v>📉</v>
      </c>
      <c r="Q67" s="183">
        <f>IFERROR(VLOOKUP($B67, 'Май_2025'!$B$1:$I$80, 8, FALSE),"нет данных")</f>
        <v>0</v>
      </c>
      <c r="R67" s="180" t="str">
        <f t="shared" si="7"/>
        <v/>
      </c>
      <c r="S67" s="181" t="str">
        <f t="shared" si="8"/>
        <v> </v>
      </c>
      <c r="T67" s="184">
        <f>IFERROR(VLOOKUP($B67, 'Июнь_2025'!$B$1:$I$80, 8, FALSE),"нет данных")</f>
        <v>0</v>
      </c>
      <c r="U67" s="180" t="str">
        <f t="shared" si="9"/>
        <v/>
      </c>
      <c r="V67" s="181" t="str">
        <f t="shared" si="10"/>
        <v> </v>
      </c>
    </row>
    <row r="68">
      <c r="A68" s="176" t="s">
        <v>19</v>
      </c>
      <c r="B68" s="149" t="s">
        <v>20</v>
      </c>
      <c r="C68" s="149" t="s">
        <v>21</v>
      </c>
      <c r="D68" s="177" t="s">
        <v>12</v>
      </c>
      <c r="E68" s="178">
        <f>IFERROR(VLOOKUP($B68, Январь_2025[[#ALL],[ID арендатора]:[Долг по аренде (руб)]], 8, FALSE),"нет данных")</f>
        <v>0</v>
      </c>
      <c r="G68" s="179"/>
      <c r="H68" s="178">
        <f>IFERROR(VLOOKUP($B68, Февраль_2025[[#ALL],[ID арендатора]:[Долг по аренде (руб)]], 8, FALSE),"нет данных")</f>
        <v>0</v>
      </c>
      <c r="I68" s="180" t="str">
        <f t="shared" si="1"/>
        <v/>
      </c>
      <c r="J68" s="181" t="str">
        <f t="shared" si="2"/>
        <v> </v>
      </c>
      <c r="K68" s="178">
        <f>IFERROR(VLOOKUP($B68, Март_2025[[#ALL],[ID арендатора]:[Долг по аренде (руб)]], 8, FALSE),"нет данных")</f>
        <v>0</v>
      </c>
      <c r="L68" s="180" t="str">
        <f t="shared" si="3"/>
        <v/>
      </c>
      <c r="M68" s="179" t="str">
        <f t="shared" si="4"/>
        <v> </v>
      </c>
      <c r="N68" s="182">
        <f>IFERROR(VLOOKUP($B68, 'Апрель_2025'!$B$1:$I$80, 8, FALSE),"нет данных")</f>
        <v>0</v>
      </c>
      <c r="O68" s="180" t="str">
        <f t="shared" si="5"/>
        <v/>
      </c>
      <c r="P68" s="181" t="str">
        <f t="shared" si="6"/>
        <v> </v>
      </c>
      <c r="Q68" s="183">
        <f>IFERROR(VLOOKUP($B68, 'Май_2025'!$B$1:$I$80, 8, FALSE),"нет данных")</f>
        <v>0</v>
      </c>
      <c r="R68" s="180" t="str">
        <f t="shared" si="7"/>
        <v/>
      </c>
      <c r="S68" s="181" t="str">
        <f t="shared" si="8"/>
        <v> </v>
      </c>
      <c r="T68" s="184">
        <f>IFERROR(VLOOKUP($B68, 'Июнь_2025'!$B$1:$I$80, 8, FALSE),"нет данных")</f>
        <v>0</v>
      </c>
      <c r="U68" s="180" t="str">
        <f t="shared" si="9"/>
        <v/>
      </c>
      <c r="V68" s="181" t="str">
        <f t="shared" si="10"/>
        <v> </v>
      </c>
    </row>
    <row r="69">
      <c r="A69" s="191" t="s">
        <v>19</v>
      </c>
      <c r="B69" s="149" t="s">
        <v>36</v>
      </c>
      <c r="C69" s="187" t="s">
        <v>37</v>
      </c>
      <c r="D69" s="188" t="s">
        <v>24</v>
      </c>
      <c r="E69" s="178">
        <f>IFERROR(VLOOKUP($B69, Январь_2025[[#ALL],[ID арендатора]:[Долг по аренде (руб)]], 8, FALSE),"нет данных")</f>
        <v>0</v>
      </c>
      <c r="G69" s="179"/>
      <c r="H69" s="178">
        <f>IFERROR(VLOOKUP($B69, Февраль_2025[[#ALL],[ID арендатора]:[Долг по аренде (руб)]], 8, FALSE),"нет данных")</f>
        <v>0</v>
      </c>
      <c r="I69" s="180" t="str">
        <f t="shared" si="1"/>
        <v/>
      </c>
      <c r="J69" s="181" t="str">
        <f t="shared" si="2"/>
        <v> </v>
      </c>
      <c r="K69" s="178">
        <f>IFERROR(VLOOKUP($B69, Март_2025[[#ALL],[ID арендатора]:[Долг по аренде (руб)]], 8, FALSE),"нет данных")</f>
        <v>0</v>
      </c>
      <c r="L69" s="180" t="str">
        <f t="shared" si="3"/>
        <v/>
      </c>
      <c r="M69" s="179" t="str">
        <f t="shared" si="4"/>
        <v> </v>
      </c>
      <c r="N69" s="182">
        <f>IFERROR(VLOOKUP($B69, 'Апрель_2025'!$B$1:$I$80, 8, FALSE),"нет данных")</f>
        <v>0</v>
      </c>
      <c r="O69" s="180" t="str">
        <f t="shared" si="5"/>
        <v/>
      </c>
      <c r="P69" s="181" t="str">
        <f t="shared" si="6"/>
        <v> </v>
      </c>
      <c r="Q69" s="183">
        <f>IFERROR(VLOOKUP($B69, 'Май_2025'!$B$1:$I$80, 8, FALSE),"нет данных")</f>
        <v>0</v>
      </c>
      <c r="R69" s="180" t="str">
        <f t="shared" si="7"/>
        <v/>
      </c>
      <c r="S69" s="181" t="str">
        <f t="shared" si="8"/>
        <v> </v>
      </c>
      <c r="T69" s="184">
        <f>IFERROR(VLOOKUP($B69, 'Июнь_2025'!$B$1:$I$80, 8, FALSE),"нет данных")</f>
        <v>0</v>
      </c>
      <c r="U69" s="180" t="str">
        <f t="shared" si="9"/>
        <v/>
      </c>
      <c r="V69" s="181" t="str">
        <f t="shared" si="10"/>
        <v> </v>
      </c>
    </row>
    <row r="70">
      <c r="A70" s="176" t="s">
        <v>19</v>
      </c>
      <c r="B70" s="149" t="s">
        <v>34</v>
      </c>
      <c r="C70" s="149" t="s">
        <v>35</v>
      </c>
      <c r="D70" s="177" t="s">
        <v>24</v>
      </c>
      <c r="E70" s="178">
        <f>IFERROR(VLOOKUP($B70, Январь_2025[[#ALL],[ID арендатора]:[Долг по аренде (руб)]], 8, FALSE),"нет данных")</f>
        <v>0</v>
      </c>
      <c r="G70" s="179"/>
      <c r="H70" s="178">
        <f>IFERROR(VLOOKUP($B70, Февраль_2025[[#ALL],[ID арендатора]:[Долг по аренде (руб)]], 8, FALSE),"нет данных")</f>
        <v>0</v>
      </c>
      <c r="I70" s="180" t="str">
        <f t="shared" si="1"/>
        <v/>
      </c>
      <c r="J70" s="181" t="str">
        <f t="shared" si="2"/>
        <v> </v>
      </c>
      <c r="K70" s="178">
        <f>IFERROR(VLOOKUP($B70, Март_2025[[#ALL],[ID арендатора]:[Долг по аренде (руб)]], 8, FALSE),"нет данных")</f>
        <v>0</v>
      </c>
      <c r="L70" s="180" t="str">
        <f t="shared" si="3"/>
        <v/>
      </c>
      <c r="M70" s="179" t="str">
        <f t="shared" si="4"/>
        <v> </v>
      </c>
      <c r="N70" s="182">
        <f>IFERROR(VLOOKUP($B70, 'Апрель_2025'!$B$1:$I$80, 8, FALSE),"нет данных")</f>
        <v>0</v>
      </c>
      <c r="O70" s="180" t="str">
        <f t="shared" si="5"/>
        <v/>
      </c>
      <c r="P70" s="181" t="str">
        <f t="shared" si="6"/>
        <v> </v>
      </c>
      <c r="Q70" s="183">
        <f>IFERROR(VLOOKUP($B70, 'Май_2025'!$B$1:$I$80, 8, FALSE),"нет данных")</f>
        <v>0</v>
      </c>
      <c r="R70" s="180" t="str">
        <f t="shared" si="7"/>
        <v/>
      </c>
      <c r="S70" s="181" t="str">
        <f t="shared" si="8"/>
        <v> </v>
      </c>
      <c r="T70" s="184">
        <f>IFERROR(VLOOKUP($B70, 'Июнь_2025'!$B$1:$I$80, 8, FALSE),"нет данных")</f>
        <v>0</v>
      </c>
      <c r="U70" s="180" t="str">
        <f t="shared" si="9"/>
        <v/>
      </c>
      <c r="V70" s="181" t="str">
        <f t="shared" si="10"/>
        <v> </v>
      </c>
    </row>
    <row r="71">
      <c r="A71" s="176" t="s">
        <v>19</v>
      </c>
      <c r="B71" s="149" t="s">
        <v>62</v>
      </c>
      <c r="C71" s="185" t="s">
        <v>59</v>
      </c>
      <c r="D71" s="177" t="s">
        <v>57</v>
      </c>
      <c r="E71" s="178">
        <f>IFERROR(VLOOKUP($B71, Январь_2025[[#ALL],[ID арендатора]:[Долг по аренде (руб)]], 8, FALSE),"нет данных")</f>
        <v>0</v>
      </c>
      <c r="G71" s="179"/>
      <c r="H71" s="178">
        <f>IFERROR(VLOOKUP($B71, Февраль_2025[[#ALL],[ID арендатора]:[Долг по аренде (руб)]], 8, FALSE),"нет данных")</f>
        <v>0</v>
      </c>
      <c r="I71" s="180" t="str">
        <f t="shared" si="1"/>
        <v/>
      </c>
      <c r="J71" s="181" t="str">
        <f t="shared" si="2"/>
        <v> </v>
      </c>
      <c r="K71" s="178">
        <f>IFERROR(VLOOKUP($B71, Март_2025[[#ALL],[ID арендатора]:[Долг по аренде (руб)]], 8, FALSE),"нет данных")</f>
        <v>0</v>
      </c>
      <c r="L71" s="180" t="str">
        <f t="shared" si="3"/>
        <v/>
      </c>
      <c r="M71" s="179" t="str">
        <f t="shared" si="4"/>
        <v> </v>
      </c>
      <c r="N71" s="182">
        <f>IFERROR(VLOOKUP($B71, 'Апрель_2025'!$B$1:$I$80, 8, FALSE),"нет данных")</f>
        <v>0</v>
      </c>
      <c r="O71" s="180" t="str">
        <f t="shared" si="5"/>
        <v/>
      </c>
      <c r="P71" s="181" t="str">
        <f t="shared" si="6"/>
        <v> </v>
      </c>
      <c r="Q71" s="183">
        <f>IFERROR(VLOOKUP($B71, 'Май_2025'!$B$1:$I$80, 8, FALSE),"нет данных")</f>
        <v>0</v>
      </c>
      <c r="R71" s="180" t="str">
        <f t="shared" si="7"/>
        <v/>
      </c>
      <c r="S71" s="181" t="str">
        <f t="shared" si="8"/>
        <v> </v>
      </c>
      <c r="T71" s="184">
        <f>IFERROR(VLOOKUP($B71, 'Июнь_2025'!$B$1:$I$80, 8, FALSE),"нет данных")</f>
        <v>0</v>
      </c>
      <c r="U71" s="180" t="str">
        <f t="shared" si="9"/>
        <v/>
      </c>
      <c r="V71" s="181" t="str">
        <f t="shared" si="10"/>
        <v> </v>
      </c>
    </row>
    <row r="72">
      <c r="A72" s="176" t="s">
        <v>19</v>
      </c>
      <c r="B72" s="149" t="s">
        <v>60</v>
      </c>
      <c r="C72" s="149" t="s">
        <v>61</v>
      </c>
      <c r="D72" s="177" t="s">
        <v>57</v>
      </c>
      <c r="E72" s="178">
        <f>IFERROR(VLOOKUP($B72, Январь_2025[[#ALL],[ID арендатора]:[Долг по аренде (руб)]], 8, FALSE),"нет данных")</f>
        <v>0</v>
      </c>
      <c r="G72" s="179"/>
      <c r="H72" s="178">
        <f>IFERROR(VLOOKUP($B72, Февраль_2025[[#ALL],[ID арендатора]:[Долг по аренде (руб)]], 8, FALSE),"нет данных")</f>
        <v>0</v>
      </c>
      <c r="I72" s="180" t="str">
        <f t="shared" si="1"/>
        <v/>
      </c>
      <c r="J72" s="181" t="str">
        <f t="shared" si="2"/>
        <v> </v>
      </c>
      <c r="K72" s="178">
        <f>IFERROR(VLOOKUP($B72, Март_2025[[#ALL],[ID арендатора]:[Долг по аренде (руб)]], 8, FALSE),"нет данных")</f>
        <v>0</v>
      </c>
      <c r="L72" s="180" t="str">
        <f t="shared" si="3"/>
        <v/>
      </c>
      <c r="M72" s="179" t="str">
        <f t="shared" si="4"/>
        <v> </v>
      </c>
      <c r="N72" s="182">
        <f>IFERROR(VLOOKUP($B72, 'Апрель_2025'!$B$1:$I$80, 8, FALSE),"нет данных")</f>
        <v>0</v>
      </c>
      <c r="O72" s="180" t="str">
        <f t="shared" si="5"/>
        <v/>
      </c>
      <c r="P72" s="181" t="str">
        <f t="shared" si="6"/>
        <v> </v>
      </c>
      <c r="Q72" s="183">
        <f>IFERROR(VLOOKUP($B72, 'Май_2025'!$B$1:$I$80, 8, FALSE),"нет данных")</f>
        <v>0</v>
      </c>
      <c r="R72" s="180" t="str">
        <f t="shared" si="7"/>
        <v/>
      </c>
      <c r="S72" s="181" t="str">
        <f t="shared" si="8"/>
        <v> </v>
      </c>
      <c r="T72" s="184">
        <f>IFERROR(VLOOKUP($B72, 'Июнь_2025'!$B$1:$I$80, 8, FALSE),"нет данных")</f>
        <v>0</v>
      </c>
      <c r="U72" s="180" t="str">
        <f t="shared" si="9"/>
        <v/>
      </c>
      <c r="V72" s="181" t="str">
        <f t="shared" si="10"/>
        <v> </v>
      </c>
    </row>
    <row r="73">
      <c r="A73" s="176" t="s">
        <v>19</v>
      </c>
      <c r="B73" s="149" t="s">
        <v>90</v>
      </c>
      <c r="C73" s="149" t="s">
        <v>81</v>
      </c>
      <c r="D73" s="177" t="s">
        <v>65</v>
      </c>
      <c r="E73" s="178">
        <f>IFERROR(VLOOKUP($B73, Январь_2025[[#ALL],[ID арендатора]:[Долг по аренде (руб)]], 8, FALSE),"нет данных")</f>
        <v>0</v>
      </c>
      <c r="G73" s="179"/>
      <c r="H73" s="178">
        <f>IFERROR(VLOOKUP($B73, Февраль_2025[[#ALL],[ID арендатора]:[Долг по аренде (руб)]], 8, FALSE),"нет данных")</f>
        <v>0</v>
      </c>
      <c r="I73" s="180" t="str">
        <f t="shared" si="1"/>
        <v/>
      </c>
      <c r="J73" s="181" t="str">
        <f t="shared" si="2"/>
        <v> </v>
      </c>
      <c r="K73" s="178">
        <f>IFERROR(VLOOKUP($B73, Март_2025[[#ALL],[ID арендатора]:[Долг по аренде (руб)]], 8, FALSE),"нет данных")</f>
        <v>0</v>
      </c>
      <c r="L73" s="180" t="str">
        <f t="shared" si="3"/>
        <v/>
      </c>
      <c r="M73" s="179" t="str">
        <f t="shared" si="4"/>
        <v> </v>
      </c>
      <c r="N73" s="182">
        <f>IFERROR(VLOOKUP($B73, 'Апрель_2025'!$B$1:$I$80, 8, FALSE),"нет данных")</f>
        <v>0</v>
      </c>
      <c r="O73" s="180" t="str">
        <f t="shared" si="5"/>
        <v/>
      </c>
      <c r="P73" s="181" t="str">
        <f t="shared" si="6"/>
        <v> </v>
      </c>
      <c r="Q73" s="183">
        <f>IFERROR(VLOOKUP($B73, 'Май_2025'!$B$1:$I$80, 8, FALSE),"нет данных")</f>
        <v>0</v>
      </c>
      <c r="R73" s="180" t="str">
        <f t="shared" si="7"/>
        <v/>
      </c>
      <c r="S73" s="181" t="str">
        <f t="shared" si="8"/>
        <v> </v>
      </c>
      <c r="T73" s="184">
        <f>IFERROR(VLOOKUP($B73, 'Июнь_2025'!$B$1:$I$80, 8, FALSE),"нет данных")</f>
        <v>0</v>
      </c>
      <c r="U73" s="180" t="str">
        <f t="shared" si="9"/>
        <v/>
      </c>
      <c r="V73" s="181" t="str">
        <f t="shared" si="10"/>
        <v> </v>
      </c>
    </row>
    <row r="74">
      <c r="A74" s="176" t="s">
        <v>19</v>
      </c>
      <c r="B74" s="149" t="s">
        <v>88</v>
      </c>
      <c r="C74" s="185" t="s">
        <v>89</v>
      </c>
      <c r="D74" s="177" t="s">
        <v>65</v>
      </c>
      <c r="E74" s="178">
        <f>IFERROR(VLOOKUP($B74, Январь_2025[[#ALL],[ID арендатора]:[Долг по аренде (руб)]], 8, FALSE),"нет данных")</f>
        <v>0</v>
      </c>
      <c r="G74" s="179"/>
      <c r="H74" s="178">
        <f>IFERROR(VLOOKUP($B74, Февраль_2025[[#ALL],[ID арендатора]:[Долг по аренде (руб)]], 8, FALSE),"нет данных")</f>
        <v>0</v>
      </c>
      <c r="I74" s="180" t="str">
        <f t="shared" si="1"/>
        <v/>
      </c>
      <c r="J74" s="181" t="str">
        <f t="shared" si="2"/>
        <v> </v>
      </c>
      <c r="K74" s="178">
        <f>IFERROR(VLOOKUP($B74, Март_2025[[#ALL],[ID арендатора]:[Долг по аренде (руб)]], 8, FALSE),"нет данных")</f>
        <v>0</v>
      </c>
      <c r="L74" s="180" t="str">
        <f t="shared" si="3"/>
        <v/>
      </c>
      <c r="M74" s="179" t="str">
        <f t="shared" si="4"/>
        <v> </v>
      </c>
      <c r="N74" s="182">
        <f>IFERROR(VLOOKUP($B74, 'Апрель_2025'!$B$1:$I$80, 8, FALSE),"нет данных")</f>
        <v>0</v>
      </c>
      <c r="O74" s="180" t="str">
        <f t="shared" si="5"/>
        <v/>
      </c>
      <c r="P74" s="181" t="str">
        <f t="shared" si="6"/>
        <v> </v>
      </c>
      <c r="Q74" s="183">
        <f>IFERROR(VLOOKUP($B74, 'Май_2025'!$B$1:$I$80, 8, FALSE),"нет данных")</f>
        <v>0</v>
      </c>
      <c r="R74" s="180" t="str">
        <f t="shared" si="7"/>
        <v/>
      </c>
      <c r="S74" s="181" t="str">
        <f t="shared" si="8"/>
        <v> </v>
      </c>
      <c r="T74" s="184">
        <f>IFERROR(VLOOKUP($B74, 'Июнь_2025'!$B$1:$I$80, 8, FALSE),"нет данных")</f>
        <v>0</v>
      </c>
      <c r="U74" s="180" t="str">
        <f t="shared" si="9"/>
        <v/>
      </c>
      <c r="V74" s="181" t="str">
        <f t="shared" si="10"/>
        <v> </v>
      </c>
    </row>
    <row r="75">
      <c r="A75" s="176" t="s">
        <v>19</v>
      </c>
      <c r="B75" s="149" t="s">
        <v>118</v>
      </c>
      <c r="C75" s="185" t="s">
        <v>95</v>
      </c>
      <c r="D75" s="177" t="s">
        <v>93</v>
      </c>
      <c r="E75" s="178">
        <f>IFERROR(VLOOKUP($B75, Январь_2025[[#ALL],[ID арендатора]:[Долг по аренде (руб)]], 8, FALSE),"нет данных")</f>
        <v>0</v>
      </c>
      <c r="G75" s="179"/>
      <c r="H75" s="178">
        <f>IFERROR(VLOOKUP($B75, Февраль_2025[[#ALL],[ID арендатора]:[Долг по аренде (руб)]], 8, FALSE),"нет данных")</f>
        <v>0</v>
      </c>
      <c r="I75" s="180" t="str">
        <f t="shared" si="1"/>
        <v/>
      </c>
      <c r="J75" s="181" t="str">
        <f t="shared" si="2"/>
        <v> </v>
      </c>
      <c r="K75" s="178">
        <f>IFERROR(VLOOKUP($B75, Март_2025[[#ALL],[ID арендатора]:[Долг по аренде (руб)]], 8, FALSE),"нет данных")</f>
        <v>0</v>
      </c>
      <c r="L75" s="180" t="str">
        <f t="shared" si="3"/>
        <v/>
      </c>
      <c r="M75" s="179" t="str">
        <f t="shared" si="4"/>
        <v> </v>
      </c>
      <c r="N75" s="182">
        <f>IFERROR(VLOOKUP($B75, 'Апрель_2025'!$B$1:$I$80, 8, FALSE),"нет данных")</f>
        <v>0</v>
      </c>
      <c r="O75" s="180" t="str">
        <f t="shared" si="5"/>
        <v/>
      </c>
      <c r="P75" s="181" t="str">
        <f t="shared" si="6"/>
        <v> </v>
      </c>
      <c r="Q75" s="183">
        <f>IFERROR(VLOOKUP($B75, 'Май_2025'!$B$1:$I$80, 8, FALSE),"нет данных")</f>
        <v>25000</v>
      </c>
      <c r="R75" s="180">
        <f t="shared" si="7"/>
        <v>1</v>
      </c>
      <c r="S75" s="181" t="str">
        <f t="shared" si="8"/>
        <v>📈</v>
      </c>
      <c r="T75" s="184">
        <f>IFERROR(VLOOKUP($B75, 'Июнь_2025'!$B$1:$I$80, 8, FALSE),"нет данных")</f>
        <v>0</v>
      </c>
      <c r="U75" s="180">
        <f t="shared" si="9"/>
        <v>-1</v>
      </c>
      <c r="V75" s="181" t="str">
        <f t="shared" si="10"/>
        <v>📉</v>
      </c>
    </row>
    <row r="76">
      <c r="A76" s="176" t="s">
        <v>19</v>
      </c>
      <c r="B76" s="149" t="s">
        <v>117</v>
      </c>
      <c r="C76" s="185" t="s">
        <v>106</v>
      </c>
      <c r="D76" s="177" t="s">
        <v>93</v>
      </c>
      <c r="E76" s="178">
        <f>IFERROR(VLOOKUP($B76, Январь_2025[[#ALL],[ID арендатора]:[Долг по аренде (руб)]], 8, FALSE),"нет данных")</f>
        <v>0</v>
      </c>
      <c r="G76" s="179"/>
      <c r="H76" s="178">
        <f>IFERROR(VLOOKUP($B76, Февраль_2025[[#ALL],[ID арендатора]:[Долг по аренде (руб)]], 8, FALSE),"нет данных")</f>
        <v>0</v>
      </c>
      <c r="I76" s="180" t="str">
        <f t="shared" si="1"/>
        <v/>
      </c>
      <c r="J76" s="181" t="str">
        <f t="shared" si="2"/>
        <v> </v>
      </c>
      <c r="K76" s="178">
        <f>IFERROR(VLOOKUP($B76, Март_2025[[#ALL],[ID арендатора]:[Долг по аренде (руб)]], 8, FALSE),"нет данных")</f>
        <v>0</v>
      </c>
      <c r="L76" s="180" t="str">
        <f t="shared" si="3"/>
        <v/>
      </c>
      <c r="M76" s="179" t="str">
        <f t="shared" si="4"/>
        <v> </v>
      </c>
      <c r="N76" s="182">
        <f>IFERROR(VLOOKUP($B76, 'Апрель_2025'!$B$1:$I$80, 8, FALSE),"нет данных")</f>
        <v>0</v>
      </c>
      <c r="O76" s="180" t="str">
        <f t="shared" si="5"/>
        <v/>
      </c>
      <c r="P76" s="181" t="str">
        <f t="shared" si="6"/>
        <v> </v>
      </c>
      <c r="Q76" s="183">
        <f>IFERROR(VLOOKUP($B76, 'Май_2025'!$B$1:$I$80, 8, FALSE),"нет данных")</f>
        <v>0</v>
      </c>
      <c r="R76" s="180" t="str">
        <f t="shared" si="7"/>
        <v/>
      </c>
      <c r="S76" s="181" t="str">
        <f t="shared" si="8"/>
        <v> </v>
      </c>
      <c r="T76" s="184">
        <f>IFERROR(VLOOKUP($B76, 'Июнь_2025'!$B$1:$I$80, 8, FALSE),"нет данных")</f>
        <v>0</v>
      </c>
      <c r="U76" s="180" t="str">
        <f t="shared" si="9"/>
        <v/>
      </c>
      <c r="V76" s="181" t="str">
        <f t="shared" si="10"/>
        <v> </v>
      </c>
    </row>
    <row r="77">
      <c r="A77" s="176" t="s">
        <v>19</v>
      </c>
      <c r="B77" s="149" t="s">
        <v>116</v>
      </c>
      <c r="C77" s="185" t="s">
        <v>104</v>
      </c>
      <c r="D77" s="177" t="s">
        <v>93</v>
      </c>
      <c r="E77" s="178">
        <f>IFERROR(VLOOKUP($B77, Январь_2025[[#ALL],[ID арендатора]:[Долг по аренде (руб)]], 8, FALSE),"нет данных")</f>
        <v>0</v>
      </c>
      <c r="G77" s="179"/>
      <c r="H77" s="178">
        <f>IFERROR(VLOOKUP($B77, Февраль_2025[[#ALL],[ID арендатора]:[Долг по аренде (руб)]], 8, FALSE),"нет данных")</f>
        <v>0</v>
      </c>
      <c r="I77" s="180" t="str">
        <f t="shared" si="1"/>
        <v/>
      </c>
      <c r="J77" s="181" t="str">
        <f t="shared" si="2"/>
        <v> </v>
      </c>
      <c r="K77" s="178">
        <f>IFERROR(VLOOKUP($B77, Март_2025[[#ALL],[ID арендатора]:[Долг по аренде (руб)]], 8, FALSE),"нет данных")</f>
        <v>0</v>
      </c>
      <c r="L77" s="180" t="str">
        <f t="shared" si="3"/>
        <v/>
      </c>
      <c r="M77" s="179" t="str">
        <f t="shared" si="4"/>
        <v> </v>
      </c>
      <c r="N77" s="182">
        <f>IFERROR(VLOOKUP($B77, 'Апрель_2025'!$B$1:$I$80, 8, FALSE),"нет данных")</f>
        <v>0</v>
      </c>
      <c r="O77" s="180" t="str">
        <f t="shared" si="5"/>
        <v/>
      </c>
      <c r="P77" s="181" t="str">
        <f t="shared" si="6"/>
        <v> </v>
      </c>
      <c r="Q77" s="183">
        <f>IFERROR(VLOOKUP($B77, 'Май_2025'!$B$1:$I$80, 8, FALSE),"нет данных")</f>
        <v>0</v>
      </c>
      <c r="R77" s="180" t="str">
        <f t="shared" si="7"/>
        <v/>
      </c>
      <c r="S77" s="181" t="str">
        <f t="shared" si="8"/>
        <v> </v>
      </c>
      <c r="T77" s="184">
        <f>IFERROR(VLOOKUP($B77, 'Июнь_2025'!$B$1:$I$80, 8, FALSE),"нет данных")</f>
        <v>500</v>
      </c>
      <c r="U77" s="180">
        <f t="shared" si="9"/>
        <v>1</v>
      </c>
      <c r="V77" s="181" t="str">
        <f t="shared" si="10"/>
        <v>📈</v>
      </c>
    </row>
    <row r="78">
      <c r="A78" s="176" t="s">
        <v>19</v>
      </c>
      <c r="B78" s="149" t="s">
        <v>114</v>
      </c>
      <c r="C78" s="149" t="s">
        <v>115</v>
      </c>
      <c r="D78" s="177" t="s">
        <v>93</v>
      </c>
      <c r="E78" s="178">
        <f>IFERROR(VLOOKUP($B78, Январь_2025[[#ALL],[ID арендатора]:[Долг по аренде (руб)]], 8, FALSE),"нет данных")</f>
        <v>0</v>
      </c>
      <c r="G78" s="179"/>
      <c r="H78" s="178">
        <f>IFERROR(VLOOKUP($B78, Февраль_2025[[#ALL],[ID арендатора]:[Долг по аренде (руб)]], 8, FALSE),"нет данных")</f>
        <v>0</v>
      </c>
      <c r="I78" s="180" t="str">
        <f t="shared" si="1"/>
        <v/>
      </c>
      <c r="J78" s="181" t="str">
        <f t="shared" si="2"/>
        <v> </v>
      </c>
      <c r="K78" s="178">
        <f>IFERROR(VLOOKUP($B78, Март_2025[[#ALL],[ID арендатора]:[Долг по аренде (руб)]], 8, FALSE),"нет данных")</f>
        <v>0</v>
      </c>
      <c r="L78" s="180" t="str">
        <f t="shared" si="3"/>
        <v/>
      </c>
      <c r="M78" s="179" t="str">
        <f t="shared" si="4"/>
        <v> </v>
      </c>
      <c r="N78" s="182">
        <f>IFERROR(VLOOKUP($B78, 'Апрель_2025'!$B$1:$I$80, 8, FALSE),"нет данных")</f>
        <v>0</v>
      </c>
      <c r="O78" s="180" t="str">
        <f t="shared" si="5"/>
        <v/>
      </c>
      <c r="P78" s="181" t="str">
        <f t="shared" si="6"/>
        <v> </v>
      </c>
      <c r="Q78" s="183">
        <f>IFERROR(VLOOKUP($B78, 'Май_2025'!$B$1:$I$80, 8, FALSE),"нет данных")</f>
        <v>0</v>
      </c>
      <c r="R78" s="180" t="str">
        <f t="shared" si="7"/>
        <v/>
      </c>
      <c r="S78" s="181" t="str">
        <f t="shared" si="8"/>
        <v> </v>
      </c>
      <c r="T78" s="184">
        <f>IFERROR(VLOOKUP($B78, 'Июнь_2025'!$B$1:$I$80, 8, FALSE),"нет данных")</f>
        <v>0</v>
      </c>
      <c r="U78" s="180" t="str">
        <f t="shared" si="9"/>
        <v/>
      </c>
      <c r="V78" s="181" t="str">
        <f t="shared" si="10"/>
        <v> </v>
      </c>
    </row>
    <row r="79">
      <c r="A79" s="176" t="s">
        <v>19</v>
      </c>
      <c r="B79" s="149" t="s">
        <v>135</v>
      </c>
      <c r="C79" s="149" t="s">
        <v>136</v>
      </c>
      <c r="D79" s="177" t="s">
        <v>130</v>
      </c>
      <c r="E79" s="178">
        <f>IFERROR(VLOOKUP($B79, Январь_2025[[#ALL],[ID арендатора]:[Долг по аренде (руб)]], 8, FALSE),"нет данных")</f>
        <v>0</v>
      </c>
      <c r="G79" s="179"/>
      <c r="H79" s="178">
        <f>IFERROR(VLOOKUP($B79, Февраль_2025[[#ALL],[ID арендатора]:[Долг по аренде (руб)]], 8, FALSE),"нет данных")</f>
        <v>0</v>
      </c>
      <c r="I79" s="180" t="str">
        <f t="shared" si="1"/>
        <v/>
      </c>
      <c r="J79" s="181" t="str">
        <f t="shared" si="2"/>
        <v> </v>
      </c>
      <c r="K79" s="178">
        <f>IFERROR(VLOOKUP($B79, Март_2025[[#ALL],[ID арендатора]:[Долг по аренде (руб)]], 8, FALSE),"нет данных")</f>
        <v>0</v>
      </c>
      <c r="L79" s="180" t="str">
        <f t="shared" si="3"/>
        <v/>
      </c>
      <c r="M79" s="179" t="str">
        <f t="shared" si="4"/>
        <v> </v>
      </c>
      <c r="N79" s="182">
        <f>IFERROR(VLOOKUP($B79, 'Апрель_2025'!$B$1:$I$80, 8, FALSE),"нет данных")</f>
        <v>0</v>
      </c>
      <c r="O79" s="180" t="str">
        <f t="shared" si="5"/>
        <v/>
      </c>
      <c r="P79" s="181" t="str">
        <f t="shared" si="6"/>
        <v> </v>
      </c>
      <c r="Q79" s="183">
        <f>IFERROR(VLOOKUP($B79, 'Май_2025'!$B$1:$I$80, 8, FALSE),"нет данных")</f>
        <v>0</v>
      </c>
      <c r="R79" s="180" t="str">
        <f t="shared" si="7"/>
        <v/>
      </c>
      <c r="S79" s="181" t="str">
        <f t="shared" si="8"/>
        <v> </v>
      </c>
      <c r="T79" s="184">
        <f>IFERROR(VLOOKUP($B79, 'Июнь_2025'!$B$1:$I$80, 8, FALSE),"нет данных")</f>
        <v>0</v>
      </c>
      <c r="U79" s="180" t="str">
        <f t="shared" si="9"/>
        <v/>
      </c>
      <c r="V79" s="181" t="str">
        <f t="shared" si="10"/>
        <v> </v>
      </c>
    </row>
    <row r="80">
      <c r="A80" s="176" t="s">
        <v>19</v>
      </c>
      <c r="B80" s="149" t="s">
        <v>181</v>
      </c>
      <c r="C80" s="149" t="s">
        <v>139</v>
      </c>
      <c r="D80" s="177" t="s">
        <v>140</v>
      </c>
      <c r="E80" s="178" t="str">
        <f>IFERROR(VLOOKUP($B80, Январь_2025[[#ALL],[ID арендатора]:[Долг по аренде (руб)]], 8, FALSE),"нет данных")</f>
        <v>нет данных</v>
      </c>
      <c r="G80" s="179"/>
      <c r="H80" s="178" t="str">
        <f>IFERROR(VLOOKUP($B80, Февраль_2025[[#ALL],[ID арендатора]:[Долг по аренде (руб)]], 8, FALSE),"нет данных")</f>
        <v>нет данных</v>
      </c>
      <c r="I80" s="180" t="str">
        <f t="shared" si="1"/>
        <v/>
      </c>
      <c r="J80" s="181" t="str">
        <f t="shared" si="2"/>
        <v/>
      </c>
      <c r="K80" s="178" t="str">
        <f>IFERROR(VLOOKUP($B80, Март_2025[[#ALL],[ID арендатора]:[Долг по аренде (руб)]], 8, FALSE),"нет данных")</f>
        <v>нет данных</v>
      </c>
      <c r="L80" s="180" t="str">
        <f t="shared" si="3"/>
        <v/>
      </c>
      <c r="M80" s="179" t="str">
        <f t="shared" si="4"/>
        <v/>
      </c>
      <c r="N80" s="182" t="str">
        <f>IFERROR(VLOOKUP($B80, 'Апрель_2025'!$B$1:$I$80, 8, FALSE),"нет данных")</f>
        <v>нет данных</v>
      </c>
      <c r="O80" s="180" t="str">
        <f t="shared" si="5"/>
        <v/>
      </c>
      <c r="P80" s="181" t="str">
        <f t="shared" si="6"/>
        <v/>
      </c>
      <c r="Q80" s="183" t="str">
        <f>IFERROR(VLOOKUP($B80, 'Май_2025'!$B$1:$I$80, 8, FALSE),"нет данных")</f>
        <v>нет данных</v>
      </c>
      <c r="R80" s="180" t="str">
        <f t="shared" si="7"/>
        <v/>
      </c>
      <c r="S80" s="181" t="str">
        <f t="shared" si="8"/>
        <v/>
      </c>
      <c r="T80" s="184">
        <f>IFERROR(VLOOKUP($B80, 'Июнь_2025'!$B$1:$I$80, 8, FALSE),"нет данных")</f>
        <v>0</v>
      </c>
      <c r="U80" s="180" t="str">
        <f t="shared" si="9"/>
        <v/>
      </c>
      <c r="V80" s="181" t="str">
        <f t="shared" si="10"/>
        <v>📉</v>
      </c>
    </row>
    <row r="81">
      <c r="A81" s="176" t="s">
        <v>19</v>
      </c>
      <c r="B81" s="149" t="s">
        <v>180</v>
      </c>
      <c r="C81" s="149" t="s">
        <v>179</v>
      </c>
      <c r="D81" s="177" t="s">
        <v>140</v>
      </c>
      <c r="E81" s="178" t="str">
        <f>IFERROR(VLOOKUP($B81, Январь_2025[[#ALL],[ID арендатора]:[Долг по аренде (руб)]], 8, FALSE),"нет данных")</f>
        <v>нет данных</v>
      </c>
      <c r="G81" s="179"/>
      <c r="H81" s="178" t="str">
        <f>IFERROR(VLOOKUP($B81, Февраль_2025[[#ALL],[ID арендатора]:[Долг по аренде (руб)]], 8, FALSE),"нет данных")</f>
        <v>нет данных</v>
      </c>
      <c r="I81" s="180" t="str">
        <f t="shared" si="1"/>
        <v/>
      </c>
      <c r="J81" s="181" t="str">
        <f t="shared" si="2"/>
        <v/>
      </c>
      <c r="K81" s="178" t="str">
        <f>IFERROR(VLOOKUP($B81, Март_2025[[#ALL],[ID арендатора]:[Долг по аренде (руб)]], 8, FALSE),"нет данных")</f>
        <v/>
      </c>
      <c r="L81" s="180" t="str">
        <f t="shared" si="3"/>
        <v/>
      </c>
      <c r="M81" s="179" t="str">
        <f t="shared" si="4"/>
        <v/>
      </c>
      <c r="N81" s="182" t="str">
        <f>IFERROR(VLOOKUP($B81, 'Апрель_2025'!$B$1:$I$80, 8, FALSE),"нет данных")</f>
        <v/>
      </c>
      <c r="O81" s="180" t="str">
        <f t="shared" si="5"/>
        <v/>
      </c>
      <c r="P81" s="181" t="str">
        <f t="shared" si="6"/>
        <v/>
      </c>
      <c r="Q81" s="183" t="str">
        <f>IFERROR(VLOOKUP($B81, 'Май_2025'!$B$1:$I$80, 8, FALSE),"нет данных")</f>
        <v/>
      </c>
      <c r="R81" s="180" t="str">
        <f t="shared" si="7"/>
        <v/>
      </c>
      <c r="S81" s="181" t="str">
        <f t="shared" si="8"/>
        <v/>
      </c>
      <c r="T81" s="184">
        <f>IFERROR(VLOOKUP($B81, 'Июнь_2025'!$B$1:$I$80, 8, FALSE),"нет данных")</f>
        <v>0</v>
      </c>
      <c r="U81" s="180" t="str">
        <f t="shared" si="9"/>
        <v/>
      </c>
      <c r="V81" s="181" t="str">
        <f t="shared" si="10"/>
        <v> </v>
      </c>
    </row>
    <row r="82">
      <c r="A82" s="176" t="s">
        <v>19</v>
      </c>
      <c r="B82" s="149" t="s">
        <v>154</v>
      </c>
      <c r="C82" s="149" t="s">
        <v>155</v>
      </c>
      <c r="D82" s="177" t="s">
        <v>149</v>
      </c>
      <c r="E82" s="178">
        <f>IFERROR(VLOOKUP($B82, Январь_2025[[#ALL],[ID арендатора]:[Долг по аренде (руб)]], 8, FALSE),"нет данных")</f>
        <v>0</v>
      </c>
      <c r="G82" s="179"/>
      <c r="H82" s="178">
        <f>IFERROR(VLOOKUP($B82, Февраль_2025[[#ALL],[ID арендатора]:[Долг по аренде (руб)]], 8, FALSE),"нет данных")</f>
        <v>0</v>
      </c>
      <c r="I82" s="180" t="str">
        <f t="shared" si="1"/>
        <v/>
      </c>
      <c r="J82" s="181" t="str">
        <f t="shared" si="2"/>
        <v> </v>
      </c>
      <c r="K82" s="178">
        <f>IFERROR(VLOOKUP($B82, Март_2025[[#ALL],[ID арендатора]:[Долг по аренде (руб)]], 8, FALSE),"нет данных")</f>
        <v>0</v>
      </c>
      <c r="L82" s="180" t="str">
        <f t="shared" si="3"/>
        <v/>
      </c>
      <c r="M82" s="179" t="str">
        <f t="shared" si="4"/>
        <v> </v>
      </c>
      <c r="N82" s="182">
        <f>IFERROR(VLOOKUP($B82, 'Апрель_2025'!$B$1:$I$80, 8, FALSE),"нет данных")</f>
        <v>0</v>
      </c>
      <c r="O82" s="180" t="str">
        <f t="shared" si="5"/>
        <v/>
      </c>
      <c r="P82" s="181" t="str">
        <f t="shared" si="6"/>
        <v> </v>
      </c>
      <c r="Q82" s="183">
        <f>IFERROR(VLOOKUP($B82, 'Май_2025'!$B$1:$I$80, 8, FALSE),"нет данных")</f>
        <v>0</v>
      </c>
      <c r="R82" s="180" t="str">
        <f t="shared" si="7"/>
        <v/>
      </c>
      <c r="S82" s="181" t="str">
        <f t="shared" si="8"/>
        <v> </v>
      </c>
      <c r="T82" s="184">
        <f>IFERROR(VLOOKUP($B82, 'Июнь_2025'!$B$1:$I$80, 8, FALSE),"нет данных")</f>
        <v>0</v>
      </c>
      <c r="U82" s="180" t="str">
        <f t="shared" si="9"/>
        <v/>
      </c>
      <c r="V82" s="181" t="str">
        <f t="shared" si="10"/>
        <v> </v>
      </c>
    </row>
    <row r="83">
      <c r="A83" s="176" t="s">
        <v>19</v>
      </c>
      <c r="B83" s="149" t="s">
        <v>163</v>
      </c>
      <c r="C83" s="149" t="s">
        <v>164</v>
      </c>
      <c r="D83" s="177" t="s">
        <v>158</v>
      </c>
      <c r="E83" s="178">
        <f>IFERROR(VLOOKUP($B83, Январь_2025[[#ALL],[ID арендатора]:[Долг по аренде (руб)]], 8, FALSE),"нет данных")</f>
        <v>0</v>
      </c>
      <c r="G83" s="179"/>
      <c r="H83" s="178">
        <f>IFERROR(VLOOKUP($B83, Февраль_2025[[#ALL],[ID арендатора]:[Долг по аренде (руб)]], 8, FALSE),"нет данных")</f>
        <v>0</v>
      </c>
      <c r="I83" s="180" t="str">
        <f t="shared" si="1"/>
        <v/>
      </c>
      <c r="J83" s="181" t="str">
        <f t="shared" si="2"/>
        <v> </v>
      </c>
      <c r="K83" s="178">
        <f>IFERROR(VLOOKUP($B83, Март_2025[[#ALL],[ID арендатора]:[Долг по аренде (руб)]], 8, FALSE),"нет данных")</f>
        <v>0</v>
      </c>
      <c r="L83" s="180" t="str">
        <f t="shared" si="3"/>
        <v/>
      </c>
      <c r="M83" s="179" t="str">
        <f t="shared" si="4"/>
        <v> </v>
      </c>
      <c r="N83" s="182">
        <f>IFERROR(VLOOKUP($B83, 'Апрель_2025'!$B$1:$I$80, 8, FALSE),"нет данных")</f>
        <v>0</v>
      </c>
      <c r="O83" s="180" t="str">
        <f t="shared" si="5"/>
        <v/>
      </c>
      <c r="P83" s="181" t="str">
        <f t="shared" si="6"/>
        <v> </v>
      </c>
      <c r="Q83" s="183">
        <f>IFERROR(VLOOKUP($B83, 'Май_2025'!$B$1:$I$80, 8, FALSE),"нет данных")</f>
        <v>0</v>
      </c>
      <c r="R83" s="180" t="str">
        <f t="shared" si="7"/>
        <v/>
      </c>
      <c r="S83" s="181" t="str">
        <f t="shared" si="8"/>
        <v> </v>
      </c>
      <c r="T83" s="184">
        <f>IFERROR(VLOOKUP($B83, 'Июнь_2025'!$B$1:$I$80, 8, FALSE),"нет данных")</f>
        <v>0</v>
      </c>
      <c r="U83" s="180" t="str">
        <f t="shared" si="9"/>
        <v/>
      </c>
      <c r="V83" s="181" t="str">
        <f t="shared" si="10"/>
        <v> </v>
      </c>
    </row>
    <row r="84">
      <c r="A84" s="192" t="s">
        <v>19</v>
      </c>
      <c r="B84" s="193" t="s">
        <v>182</v>
      </c>
      <c r="C84" s="193" t="s">
        <v>183</v>
      </c>
      <c r="D84" s="194" t="s">
        <v>158</v>
      </c>
      <c r="E84" s="178" t="str">
        <f>IFERROR(VLOOKUP($B84, Январь_2025[[#ALL],[ID арендатора]:[Долг по аренде (руб)]], 8, FALSE),"нет данных")</f>
        <v>нет данных</v>
      </c>
      <c r="G84" s="179"/>
      <c r="H84" s="178" t="str">
        <f>IFERROR(VLOOKUP($B84, Февраль_2025[[#ALL],[ID арендатора]:[Долг по аренде (руб)]], 8, FALSE),"нет данных")</f>
        <v>нет данных</v>
      </c>
      <c r="I84" s="180" t="str">
        <f t="shared" si="1"/>
        <v/>
      </c>
      <c r="J84" s="181" t="str">
        <f t="shared" si="2"/>
        <v/>
      </c>
      <c r="K84" s="178" t="str">
        <f>IFERROR(VLOOKUP($B84, Март_2025[[#ALL],[ID арендатора]:[Долг по аренде (руб)]], 8, FALSE),"нет данных")</f>
        <v>нет данных</v>
      </c>
      <c r="L84" s="180" t="str">
        <f t="shared" si="3"/>
        <v/>
      </c>
      <c r="M84" s="179" t="str">
        <f t="shared" si="4"/>
        <v/>
      </c>
      <c r="N84" s="182" t="str">
        <f>IFERROR(VLOOKUP($B84, 'Апрель_2025'!$B$1:$I$80, 8, FALSE),"нет данных")</f>
        <v>нет данных</v>
      </c>
      <c r="O84" s="180" t="str">
        <f t="shared" si="5"/>
        <v/>
      </c>
      <c r="P84" s="181" t="str">
        <f t="shared" si="6"/>
        <v/>
      </c>
      <c r="Q84" s="183" t="str">
        <f>IFERROR(VLOOKUP($B84, 'Май_2025'!$B$1:$I$80, 8, FALSE),"нет данных")</f>
        <v>нет данных</v>
      </c>
      <c r="R84" s="180" t="str">
        <f t="shared" si="7"/>
        <v/>
      </c>
      <c r="S84" s="181" t="str">
        <f t="shared" si="8"/>
        <v/>
      </c>
      <c r="T84" s="184">
        <f>IFERROR(VLOOKUP($B84, 'Июнь_2025'!$B$1:$I$80, 8, FALSE),"нет данных")</f>
        <v>0</v>
      </c>
      <c r="U84" s="180" t="str">
        <f t="shared" si="9"/>
        <v/>
      </c>
      <c r="V84" s="181" t="str">
        <f t="shared" si="10"/>
        <v>📉</v>
      </c>
    </row>
    <row r="85">
      <c r="A85" s="28"/>
      <c r="B85" s="28"/>
      <c r="C85" s="28"/>
      <c r="D85" s="28"/>
      <c r="E85" s="28"/>
      <c r="F85" s="28"/>
      <c r="G85" s="28"/>
      <c r="H85" s="29"/>
      <c r="I85" s="29"/>
      <c r="J85" s="29"/>
      <c r="K85" s="29"/>
      <c r="L85" s="29"/>
      <c r="M85" s="29"/>
      <c r="N85" s="28"/>
      <c r="O85" s="28"/>
      <c r="P85" s="28"/>
      <c r="Q85" s="28"/>
      <c r="R85" s="28"/>
      <c r="S85" s="28"/>
      <c r="T85" s="28"/>
      <c r="U85" s="28"/>
      <c r="V85" s="28"/>
    </row>
    <row r="86">
      <c r="A86" s="28"/>
      <c r="B86" s="28"/>
      <c r="C86" s="28"/>
      <c r="D86" s="28"/>
      <c r="E86" s="28"/>
      <c r="F86" s="30"/>
      <c r="G86" s="30"/>
      <c r="H86" s="29"/>
      <c r="I86" s="29"/>
      <c r="J86" s="29"/>
      <c r="K86" s="29"/>
      <c r="L86" s="29"/>
      <c r="M86" s="29"/>
      <c r="N86" s="28"/>
      <c r="O86" s="28"/>
      <c r="P86" s="28"/>
      <c r="Q86" s="30"/>
      <c r="R86" s="30"/>
      <c r="S86" s="30"/>
      <c r="T86" s="30"/>
      <c r="U86" s="30"/>
      <c r="V86" s="30"/>
    </row>
    <row r="87">
      <c r="A87" s="28"/>
      <c r="B87" s="28"/>
      <c r="C87" s="28"/>
      <c r="D87" s="28"/>
      <c r="E87" s="28"/>
      <c r="F87" s="30"/>
      <c r="G87" s="30"/>
      <c r="H87" s="29"/>
      <c r="I87" s="29"/>
      <c r="J87" s="29"/>
      <c r="K87" s="29"/>
      <c r="L87" s="29"/>
      <c r="M87" s="29"/>
      <c r="N87" s="28"/>
      <c r="O87" s="28"/>
      <c r="P87" s="28"/>
      <c r="Q87" s="30"/>
      <c r="R87" s="30"/>
      <c r="S87" s="30"/>
      <c r="T87" s="30"/>
      <c r="U87" s="30"/>
      <c r="V87" s="30"/>
    </row>
    <row r="88">
      <c r="A88" s="31"/>
      <c r="B88" s="31"/>
      <c r="C88" s="31"/>
      <c r="D88" s="28"/>
      <c r="E88" s="31"/>
      <c r="F88" s="28"/>
      <c r="G88" s="28"/>
      <c r="H88" s="28"/>
      <c r="I88" s="28"/>
      <c r="J88" s="28"/>
      <c r="K88" s="32"/>
      <c r="L88" s="32"/>
      <c r="M88" s="32"/>
      <c r="N88" s="28"/>
      <c r="O88" s="28"/>
      <c r="P88" s="28"/>
      <c r="Q88" s="28"/>
      <c r="R88" s="28"/>
      <c r="S88" s="28"/>
      <c r="T88" s="28"/>
      <c r="U88" s="28"/>
      <c r="V88" s="28"/>
    </row>
    <row r="89">
      <c r="A89" s="31"/>
      <c r="B89" s="31"/>
      <c r="C89" s="31"/>
      <c r="D89" s="28"/>
      <c r="E89" s="31"/>
      <c r="F89" s="28"/>
      <c r="G89" s="28"/>
      <c r="H89" s="28"/>
      <c r="I89" s="28"/>
      <c r="J89" s="28"/>
      <c r="K89" s="32"/>
      <c r="L89" s="32"/>
      <c r="M89" s="32"/>
      <c r="N89" s="28"/>
      <c r="O89" s="28"/>
      <c r="P89" s="28"/>
      <c r="Q89" s="28"/>
      <c r="R89" s="28"/>
      <c r="S89" s="28"/>
      <c r="T89" s="28"/>
      <c r="U89" s="28"/>
      <c r="V89" s="28"/>
    </row>
    <row r="90">
      <c r="A90" s="31"/>
      <c r="B90" s="31"/>
      <c r="C90" s="31"/>
      <c r="D90" s="28"/>
      <c r="E90" s="31"/>
      <c r="F90" s="28"/>
      <c r="G90" s="28"/>
      <c r="H90" s="28"/>
      <c r="I90" s="28"/>
      <c r="J90" s="28"/>
      <c r="K90" s="32"/>
      <c r="L90" s="32"/>
      <c r="M90" s="32"/>
      <c r="N90" s="28"/>
      <c r="O90" s="28"/>
      <c r="P90" s="28"/>
      <c r="Q90" s="28"/>
      <c r="R90" s="28"/>
      <c r="S90" s="28"/>
      <c r="T90" s="28"/>
      <c r="U90" s="28"/>
      <c r="V90" s="28"/>
    </row>
  </sheetData>
  <autoFilter ref="$A$5:$V$84">
    <sortState ref="A5:V84">
      <sortCondition ref="I5:I84"/>
    </sortState>
  </autoFilter>
  <mergeCells count="19">
    <mergeCell ref="E3:E4"/>
    <mergeCell ref="F3:G4"/>
    <mergeCell ref="H3:H4"/>
    <mergeCell ref="I3:J4"/>
    <mergeCell ref="K3:K4"/>
    <mergeCell ref="L3:M4"/>
    <mergeCell ref="N3:N4"/>
    <mergeCell ref="O3:P4"/>
    <mergeCell ref="Q3:Q4"/>
    <mergeCell ref="R3:S4"/>
    <mergeCell ref="T3:T4"/>
    <mergeCell ref="U3:V4"/>
    <mergeCell ref="A1:C4"/>
    <mergeCell ref="E2:G2"/>
    <mergeCell ref="H2:J2"/>
    <mergeCell ref="K2:M2"/>
    <mergeCell ref="N2:P2"/>
    <mergeCell ref="Q2:S2"/>
    <mergeCell ref="T2:V2"/>
  </mergeCells>
  <conditionalFormatting sqref="I6:I84 L6:L84 O6:O84 R6:R84 U6:U84">
    <cfRule type="cellIs" dxfId="6" priority="1" operator="greaterThanOrEqual">
      <formula>0</formula>
    </cfRule>
  </conditionalFormatting>
  <conditionalFormatting sqref="I6:I84 L6:L84 O6:O84 R6:R84 U6:U84">
    <cfRule type="cellIs" dxfId="7" priority="2" operator="lessThan">
      <formula>0</formula>
    </cfRule>
  </conditionalFormatting>
  <conditionalFormatting sqref="E6:E84 H6:H84 K6:K84 N6:N84 Q6:Q84 T6:T84">
    <cfRule type="cellIs" dxfId="8" priority="3" operator="equal">
      <formula>"нет данных"</formula>
    </cfRule>
  </conditionalFormatting>
  <conditionalFormatting sqref="A6:A84">
    <cfRule type="cellIs" dxfId="9" priority="4" operator="equal">
      <formula>"Мебельный Плаза"</formula>
    </cfRule>
  </conditionalFormatting>
  <conditionalFormatting sqref="A6:A84">
    <cfRule type="cellIs" dxfId="10" priority="5" operator="equal">
      <formula>"Уютный квартал"</formula>
    </cfRule>
  </conditionalFormatting>
  <conditionalFormatting sqref="A6:A84">
    <cfRule type="cellIs" dxfId="11" priority="6" operator="equal">
      <formula>"Дом Будущего"</formula>
    </cfRule>
  </conditionalFormatting>
  <conditionalFormatting sqref="A6:A84">
    <cfRule type="cellIs" dxfId="12" priority="7" operator="equal">
      <formula>"Гранд Интерьер"</formula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  <tableParts count="1">
    <tablePart r:id="rId3"/>
  </tableParts>
</worksheet>
</file>