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вод" sheetId="1" r:id="rId4"/>
    <sheet state="visible" name="Фьючерсы на акции" sheetId="2" r:id="rId5"/>
    <sheet state="visible" name="Справочник" sheetId="3" r:id="rId6"/>
    <sheet state="visible" name="Telegram" sheetId="4" r:id="rId7"/>
  </sheets>
  <definedNames>
    <definedName hidden="1" localSheetId="2" name="Z_F9C9E0E7_0550_463F_B14E_7FEAF4915494_.wvu.FilterData">'Справочник'!$A$9:$H$189</definedName>
  </definedNames>
  <calcPr/>
  <customWorkbookViews>
    <customWorkbookView activeSheetId="0" maximized="1" windowHeight="0" windowWidth="0" guid="{F9C9E0E7-0550-463F-B14E-7FEAF4915494}" name="Group by Актуальность записи"/>
  </customWorkbookViews>
  <pivotCaches>
    <pivotCache cacheId="0" r:id="rId8"/>
    <pivotCache cacheId="1" r:id="rId9"/>
  </pivotCaches>
</workbook>
</file>

<file path=xl/sharedStrings.xml><?xml version="1.0" encoding="utf-8"?>
<sst xmlns="http://schemas.openxmlformats.org/spreadsheetml/2006/main" count="1148" uniqueCount="764">
  <si>
    <t>Фьючерсный контракт на</t>
  </si>
  <si>
    <t>Фьючерсы на акции</t>
  </si>
  <si>
    <t>Код инструмента</t>
  </si>
  <si>
    <t>Ссылка на инструмент</t>
  </si>
  <si>
    <t>Последняя сделка (неформатированные данные)</t>
  </si>
  <si>
    <t>Последняя сделка</t>
  </si>
  <si>
    <t>Объем лота</t>
  </si>
  <si>
    <t>Дата экспирации</t>
  </si>
  <si>
    <t>Базовый актив</t>
  </si>
  <si>
    <t>Цена последней сделки</t>
  </si>
  <si>
    <t>Ссылка на БА</t>
  </si>
  <si>
    <t>Доля</t>
  </si>
  <si>
    <t>Справедливая цена</t>
  </si>
  <si>
    <t xml:space="preserve">Отклонение, %   </t>
  </si>
  <si>
    <t>Отклонение расчет</t>
  </si>
  <si>
    <t>AFLT-12.25</t>
  </si>
  <si>
    <t>ALRS-12.25</t>
  </si>
  <si>
    <t>DJ30-12.25</t>
  </si>
  <si>
    <t>BELUGA-12.25</t>
  </si>
  <si>
    <t>BSPB-12.25</t>
  </si>
  <si>
    <t>CHMF-12.25</t>
  </si>
  <si>
    <t>FEES-12.25</t>
  </si>
  <si>
    <t>GAZR-12.25</t>
  </si>
  <si>
    <t>LKOH-12.25</t>
  </si>
  <si>
    <t>MAGN-12.25</t>
  </si>
  <si>
    <t>MGNT-12.25</t>
  </si>
  <si>
    <t>MOEX-12.25</t>
  </si>
  <si>
    <t>MTSI-12.25</t>
  </si>
  <si>
    <t>NLMK-12.25</t>
  </si>
  <si>
    <t>NOTK-12.25</t>
  </si>
  <si>
    <t>PHOR-12.25</t>
  </si>
  <si>
    <t>ROSN-12.25</t>
  </si>
  <si>
    <t>RTKM-12.25</t>
  </si>
  <si>
    <t>SBRF-12.25</t>
  </si>
  <si>
    <t>SIBN-12.25</t>
  </si>
  <si>
    <t>SNGP-12.25</t>
  </si>
  <si>
    <t>SPBE-12.25</t>
  </si>
  <si>
    <t>TATN-12.25</t>
  </si>
  <si>
    <t>TATP-12.25</t>
  </si>
  <si>
    <t>TRNF-12.25</t>
  </si>
  <si>
    <t>VKCO-12.25</t>
  </si>
  <si>
    <t>VTBR-12.25</t>
  </si>
  <si>
    <t>Источник: https://www.moex.com/ru/derivatives/equity/stocks/</t>
  </si>
  <si>
    <r>
      <rPr>
        <rFont val="Comfortaa"/>
        <b/>
        <color rgb="FF1C4587"/>
        <sz val="11.0"/>
      </rPr>
      <t xml:space="preserve">Таблица с сайта Московской биржи: Фьючерсы на акции российских и иностранных эмитентов.  
</t>
    </r>
    <r>
      <rPr>
        <rFont val="Comfortaa"/>
        <b val="0"/>
        <color rgb="FF1C4587"/>
        <sz val="10.0"/>
      </rPr>
      <t xml:space="preserve">По умолчанию триггер срабатывает 1 раз в час. Для обновления нажать кнопку. 
</t>
    </r>
  </si>
  <si>
    <t>Для добавления записей в таблицу "Данные по фьючерсам", необходимо заполнить только поле "Фьючерсы на акции" и нажать на кнопку добавления данных</t>
  </si>
  <si>
    <t>Для расчета справедливой цены</t>
  </si>
  <si>
    <t>Фьючерсный контракт</t>
  </si>
  <si>
    <t>Кнопка для добавления данных в таблицу</t>
  </si>
  <si>
    <t>Ставка</t>
  </si>
  <si>
    <t>ZINC-12.25</t>
  </si>
  <si>
    <t>Для раскрывающихся списков СВОДНОЙ таблицы</t>
  </si>
  <si>
    <t>Актуальность</t>
  </si>
  <si>
    <t>Фьючерсный контракт на цинк</t>
  </si>
  <si>
    <t>ZINC</t>
  </si>
  <si>
    <t>ZCZ5</t>
  </si>
  <si>
    <t>https://www.moex.com/ru/contract.aspx?code=ZCZ5</t>
  </si>
  <si>
    <t>1MFR-1.26</t>
  </si>
  <si>
    <t>Однодневный фьючерсный контракт с автопролонгацией на золото</t>
  </si>
  <si>
    <t>GLDRUBF</t>
  </si>
  <si>
    <t>GLDRUBTOM</t>
  </si>
  <si>
    <t>https://www.moex.com/ru/contract.aspx?code=GLDRUBF</t>
  </si>
  <si>
    <t>1MFR-10.25</t>
  </si>
  <si>
    <t>Однодневный фьючерсный контракт с автопролонгацией на Индекс МосБиржи</t>
  </si>
  <si>
    <t>IMOEXF</t>
  </si>
  <si>
    <t>IMOEX</t>
  </si>
  <si>
    <t>https://www.moex.com/ru/contract.aspx?code=IMOEXF</t>
  </si>
  <si>
    <t>1MFR-11.25</t>
  </si>
  <si>
    <t>Однодневный фьючерсный контракт с автопролонгацией на курс доллар США - 
российский рубль</t>
  </si>
  <si>
    <t>USDRUBF</t>
  </si>
  <si>
    <t>USDRUBTOM</t>
  </si>
  <si>
    <t>https://www.moex.com/ru/contract.aspx?code=USDRUBF</t>
  </si>
  <si>
    <t>1MFR-12.25</t>
  </si>
  <si>
    <t>Однодневный фьючерсный контракт с автопролонгацией на курс евро - 
российский рубль</t>
  </si>
  <si>
    <t>EURRUBF</t>
  </si>
  <si>
    <t>EURRUBTOM</t>
  </si>
  <si>
    <t>https://www.moex.com/ru/contract.aspx?code=EURRUBF</t>
  </si>
  <si>
    <t>1MFR-2.26</t>
  </si>
  <si>
    <t>Однодневный фьючерсный контракт с автопролонгацией на курс китайский юань 
- российский рубль</t>
  </si>
  <si>
    <t>CNYRUBF</t>
  </si>
  <si>
    <t>CNYRUBTOM</t>
  </si>
  <si>
    <t>https://www.moex.com/ru/contract.aspx?code=CNYRUBF</t>
  </si>
  <si>
    <t>1MFR-3.26</t>
  </si>
  <si>
    <t>Однодневный фьючерсный контракт с автопролонгацией на обыкновенные акции 
ПАО «Газпром»</t>
  </si>
  <si>
    <t>GAZPF</t>
  </si>
  <si>
    <t>https://www.moex.com/ru/contract.aspx?code=GAZPF</t>
  </si>
  <si>
    <t>1MFR-4.26</t>
  </si>
  <si>
    <t>Однодневный фьючерсный контракт с автопролонгацией на обыкновенные акции 
ПАО Сбербанк</t>
  </si>
  <si>
    <t>SBERF</t>
  </si>
  <si>
    <t>https://www.moex.com/ru/contract.aspx?code=SBERF</t>
  </si>
  <si>
    <t>1MFR-5.26</t>
  </si>
  <si>
    <t>Расчетный фьючерсный контракт на золото</t>
  </si>
  <si>
    <t>GL-3.26</t>
  </si>
  <si>
    <t>GL</t>
  </si>
  <si>
    <t>GLH6</t>
  </si>
  <si>
    <t>https://www.moex.com/ru/contract.aspx?code=GLH6</t>
  </si>
  <si>
    <t>AED-12.25</t>
  </si>
  <si>
    <t>GL-12.25</t>
  </si>
  <si>
    <t>GLZ5</t>
  </si>
  <si>
    <t>https://www.moex.com/ru/contract.aspx?code=GLZ5</t>
  </si>
  <si>
    <t>AED-3.26</t>
  </si>
  <si>
    <t>Расчетный фьючерсный контракт на сахар</t>
  </si>
  <si>
    <t>SUGAR-10.25</t>
  </si>
  <si>
    <t>SUGAR</t>
  </si>
  <si>
    <t>SuV5</t>
  </si>
  <si>
    <t>https://www.moex.com/ru/contract.aspx?code=SuV5</t>
  </si>
  <si>
    <t>AFKS-12.25</t>
  </si>
  <si>
    <t>Фьючерский контракт на обыкновенные акции ПАО «Газпром нефть»</t>
  </si>
  <si>
    <t>SIBN</t>
  </si>
  <si>
    <t>SOZ5</t>
  </si>
  <si>
    <t>https://www.moex.com/ru/contract.aspx?code=SOZ5</t>
  </si>
  <si>
    <t>Фьючерсный контракт на акции инвестиционного фонда iShares MSCI Emerging 
Markets ETF</t>
  </si>
  <si>
    <t>EM-12.25</t>
  </si>
  <si>
    <t>EM</t>
  </si>
  <si>
    <t>EMZ5</t>
  </si>
  <si>
    <t>https://www.moex.com/ru/contract.aspx?code=EMZ5</t>
  </si>
  <si>
    <t>Фьючерсный контракт на акции инвестиционного фонда MSCI India UCITS ETF</t>
  </si>
  <si>
    <t>INDIA-12.25</t>
  </si>
  <si>
    <t>INDIA</t>
  </si>
  <si>
    <t>NDZ5</t>
  </si>
  <si>
    <t>https://www.moex.com/ru/contract.aspx?code=NDZ5</t>
  </si>
  <si>
    <t>ALUM-12.25</t>
  </si>
  <si>
    <t>INDIA-3.26</t>
  </si>
  <si>
    <t>NDH6</t>
  </si>
  <si>
    <t>https://www.moex.com/ru/contract.aspx?code=NDH6</t>
  </si>
  <si>
    <t>AMD-12.25</t>
  </si>
  <si>
    <t>Фьючерсный контракт на акции инвестиционного фонда Nikkei 225 ETF</t>
  </si>
  <si>
    <t>NIKK-12.25</t>
  </si>
  <si>
    <t>NIKK</t>
  </si>
  <si>
    <t>N2Z5</t>
  </si>
  <si>
    <t>https://www.moex.com/ru/contract.aspx?code=N2Z5</t>
  </si>
  <si>
    <t>AMD-3.26</t>
  </si>
  <si>
    <t>Фьючерсный контракт на акции инвестиционного фонда Russell 2000 ETF</t>
  </si>
  <si>
    <t>R2000-12.25</t>
  </si>
  <si>
    <t>R2000</t>
  </si>
  <si>
    <t>R2Z5</t>
  </si>
  <si>
    <t>https://www.moex.com/ru/contract.aspx?code=R2Z5</t>
  </si>
  <si>
    <t>ASTR-12.25</t>
  </si>
  <si>
    <t>Фьючерсный контракт на акции инвестиционного фонда Tracker Fund of Hong 
Kong ETF</t>
  </si>
  <si>
    <t>HANG-12.25</t>
  </si>
  <si>
    <t>HANG</t>
  </si>
  <si>
    <t>HSZ5</t>
  </si>
  <si>
    <t>https://www.moex.com/ru/contract.aspx?code=HSZ5</t>
  </si>
  <si>
    <t>BANE-12.25</t>
  </si>
  <si>
    <t>Фьючерсный контракт на акции инвестиционного фонда Евро Стокс 50 ETF</t>
  </si>
  <si>
    <t>STOX-12.25</t>
  </si>
  <si>
    <t>STOX</t>
  </si>
  <si>
    <t>SXZ5</t>
  </si>
  <si>
    <t>https://www.moex.com/ru/contract.aspx?code=SXZ5</t>
  </si>
  <si>
    <t>BANE-3.26</t>
  </si>
  <si>
    <t>Фьючерсный контракт на алюминий</t>
  </si>
  <si>
    <t>ALUM</t>
  </si>
  <si>
    <t>ANZ5</t>
  </si>
  <si>
    <t>https://www.moex.com/ru/contract.aspx?code=ANZ5</t>
  </si>
  <si>
    <t>Фьючерсный контракт на золото</t>
  </si>
  <si>
    <t>GOLD-3.26</t>
  </si>
  <si>
    <t>GOLD</t>
  </si>
  <si>
    <t>GDH6</t>
  </si>
  <si>
    <t>https://www.moex.com/ru/contract.aspx?code=GDH6</t>
  </si>
  <si>
    <t>BR-1.26</t>
  </si>
  <si>
    <t>GOLD-12.25</t>
  </si>
  <si>
    <t>GDZ5</t>
  </si>
  <si>
    <t>https://www.moex.com/ru/contract.aspx?code=GDZ5</t>
  </si>
  <si>
    <t>BR-11.25</t>
  </si>
  <si>
    <t>Фьючерсный контракт на инвестиционные паи DJ Industrial Average ETF Trust</t>
  </si>
  <si>
    <t>DJ30</t>
  </si>
  <si>
    <t>DJZ5</t>
  </si>
  <si>
    <t>https://www.moex.com/ru/contract.aspx?code=DJZ5</t>
  </si>
  <si>
    <t>BR-12.25</t>
  </si>
  <si>
    <t>Фьючерсный контракт на инвестиционные паи QQQ ETF Trust</t>
  </si>
  <si>
    <t>NASD-12.25</t>
  </si>
  <si>
    <t>NASD</t>
  </si>
  <si>
    <t>NAZ5</t>
  </si>
  <si>
    <t>https://www.moex.com/ru/contract.aspx?code=NAZ5</t>
  </si>
  <si>
    <t>BR-2.26</t>
  </si>
  <si>
    <t>Фьючерсный контракт на инвестиционные паи SPY ETF Trust</t>
  </si>
  <si>
    <t>SPYF-12.25</t>
  </si>
  <si>
    <t>SPYF</t>
  </si>
  <si>
    <t>SFZ5</t>
  </si>
  <si>
    <t>https://www.moex.com/ru/contract.aspx?code=SFZ5</t>
  </si>
  <si>
    <t>BR-3.26</t>
  </si>
  <si>
    <t>Фьючерсный контракт на инвестиционные паи Дакс ETF</t>
  </si>
  <si>
    <t>DAX-12.25</t>
  </si>
  <si>
    <t>DAX</t>
  </si>
  <si>
    <t>DXZ5</t>
  </si>
  <si>
    <t>https://www.moex.com/ru/contract.aspx?code=DXZ5</t>
  </si>
  <si>
    <t>BR-4.26</t>
  </si>
  <si>
    <t>Фьючерсный контракт на Индекс RGBI</t>
  </si>
  <si>
    <t>RGBI-12.25</t>
  </si>
  <si>
    <t>RGBI</t>
  </si>
  <si>
    <t>RBZ5</t>
  </si>
  <si>
    <t>https://www.moex.com/ru/contract.aspx?code=RBZ5</t>
  </si>
  <si>
    <t>BRM-11.25</t>
  </si>
  <si>
    <t>Фьючерсный контракт на Индекс МосБиржи</t>
  </si>
  <si>
    <t>MXI-3.26</t>
  </si>
  <si>
    <t>MXI</t>
  </si>
  <si>
    <t>MMH6</t>
  </si>
  <si>
    <t>https://www.moex.com/ru/contract.aspx?code=MMH6</t>
  </si>
  <si>
    <t>MIX-3.26</t>
  </si>
  <si>
    <t>MIX</t>
  </si>
  <si>
    <t>MXH6</t>
  </si>
  <si>
    <t>https://www.moex.com/ru/contract.aspx?code=MXH6</t>
  </si>
  <si>
    <t>CBOM-12.25</t>
  </si>
  <si>
    <t>MIX-12.25</t>
  </si>
  <si>
    <t>MXZ5</t>
  </si>
  <si>
    <t>https://www.moex.com/ru/contract.aspx?code=MXZ5</t>
  </si>
  <si>
    <t>MXI-9.26</t>
  </si>
  <si>
    <t>MMU6</t>
  </si>
  <si>
    <t>https://www.moex.com/ru/contract.aspx?code=MMU6</t>
  </si>
  <si>
    <t>CNY-12.25</t>
  </si>
  <si>
    <t>MXI-6.27</t>
  </si>
  <si>
    <t>MMM7</t>
  </si>
  <si>
    <t>https://www.moex.com/ru/contract.aspx?code=MMM7</t>
  </si>
  <si>
    <t>CNY-3.26</t>
  </si>
  <si>
    <t>MXI-6.26</t>
  </si>
  <si>
    <t>MMM6</t>
  </si>
  <si>
    <t>https://www.moex.com/ru/contract.aspx?code=MMM6</t>
  </si>
  <si>
    <t>CNY-6.26</t>
  </si>
  <si>
    <t>MXI-3.27</t>
  </si>
  <si>
    <t>MMH7</t>
  </si>
  <si>
    <t>https://www.moex.com/ru/contract.aspx?code=MMH7</t>
  </si>
  <si>
    <t>CNY-9.26</t>
  </si>
  <si>
    <t>MXI-12.27</t>
  </si>
  <si>
    <t>MMZ7</t>
  </si>
  <si>
    <t>https://www.moex.com/ru/contract.aspx?code=MMZ7</t>
  </si>
  <si>
    <t>MXI-12.26</t>
  </si>
  <si>
    <t>MMZ6</t>
  </si>
  <si>
    <t>https://www.moex.com/ru/contract.aspx?code=MMZ6</t>
  </si>
  <si>
    <t>COPPER-12.25</t>
  </si>
  <si>
    <t>Фьючерсный контракт на Индекс МосБиржи в юанях</t>
  </si>
  <si>
    <t>MOEXCNY-3.26</t>
  </si>
  <si>
    <t>MOEXCNY</t>
  </si>
  <si>
    <t>MYH6</t>
  </si>
  <si>
    <t>https://www.moex.com/ru/contract.aspx?code=MYH6</t>
  </si>
  <si>
    <t>Фьючерсный контракт на Индекс московской недвижимости Домклик</t>
  </si>
  <si>
    <t>HOME-3.26</t>
  </si>
  <si>
    <t>HOME</t>
  </si>
  <si>
    <t>HOH6</t>
  </si>
  <si>
    <t>https://www.moex.com/ru/contract.aspx?code=HOH6</t>
  </si>
  <si>
    <t>HOME-12.25</t>
  </si>
  <si>
    <t>HOZ5</t>
  </si>
  <si>
    <t>https://www.moex.com/ru/contract.aspx?code=HOZ5</t>
  </si>
  <si>
    <t>ED-12.25</t>
  </si>
  <si>
    <t>Фьючерсный контракт на Индекс РТС</t>
  </si>
  <si>
    <t>RTSM-3.26</t>
  </si>
  <si>
    <t>RTSM</t>
  </si>
  <si>
    <t>RMH6</t>
  </si>
  <si>
    <t>https://www.moex.com/ru/contract.aspx?code=RMH6</t>
  </si>
  <si>
    <t>RTS-6.26</t>
  </si>
  <si>
    <t>RTS</t>
  </si>
  <si>
    <t>RIM6</t>
  </si>
  <si>
    <t>https://www.moex.com/ru/contract.aspx?code=RIM6</t>
  </si>
  <si>
    <t>Eu-12.25</t>
  </si>
  <si>
    <t>RTS-12.26</t>
  </si>
  <si>
    <t>RIZ6</t>
  </si>
  <si>
    <t>https://www.moex.com/ru/contract.aspx?code=RIZ6</t>
  </si>
  <si>
    <t>Eu-3.26</t>
  </si>
  <si>
    <t>RTS-12.25</t>
  </si>
  <si>
    <t>RIZ5</t>
  </si>
  <si>
    <t>https://www.moex.com/ru/contract.aspx?code=RIZ5</t>
  </si>
  <si>
    <t>Eu-6.26</t>
  </si>
  <si>
    <t>RTSM-12.25</t>
  </si>
  <si>
    <t>RMZ5</t>
  </si>
  <si>
    <t>https://www.moex.com/ru/contract.aspx?code=RMZ5</t>
  </si>
  <si>
    <t>Eu-9.26</t>
  </si>
  <si>
    <t>RTS-9.26</t>
  </si>
  <si>
    <t>RIU6</t>
  </si>
  <si>
    <t>https://www.moex.com/ru/contract.aspx?code=RIU6</t>
  </si>
  <si>
    <t>RTS-3.27</t>
  </si>
  <si>
    <t>RIH7</t>
  </si>
  <si>
    <t>https://www.moex.com/ru/contract.aspx?code=RIH7</t>
  </si>
  <si>
    <t>RTS-3.26</t>
  </si>
  <si>
    <t>RIH6</t>
  </si>
  <si>
    <t>https://www.moex.com/ru/contract.aspx?code=RIH6</t>
  </si>
  <si>
    <t>FESH-12.25</t>
  </si>
  <si>
    <t>Фьючерсный контракт на курс армянский драм – российский рубль</t>
  </si>
  <si>
    <t>AMD</t>
  </si>
  <si>
    <t>ARH6</t>
  </si>
  <si>
    <t>https://www.moex.com/ru/contract.aspx?code=ARH6</t>
  </si>
  <si>
    <t>FLOT-12.25</t>
  </si>
  <si>
    <t>ARZ5</t>
  </si>
  <si>
    <t>https://www.moex.com/ru/contract.aspx?code=ARZ5</t>
  </si>
  <si>
    <t>Фьючерсный контракт на курс Гонконгский доллар - российский рубль</t>
  </si>
  <si>
    <t>HKD-3.26</t>
  </si>
  <si>
    <t>HKD</t>
  </si>
  <si>
    <t>HKH6</t>
  </si>
  <si>
    <t>https://www.moex.com/ru/contract.aspx?code=HKH6</t>
  </si>
  <si>
    <t>HKD-12.25</t>
  </si>
  <si>
    <t>HKZ5</t>
  </si>
  <si>
    <t>https://www.moex.com/ru/contract.aspx?code=HKZ5</t>
  </si>
  <si>
    <t>GAZR-3.26</t>
  </si>
  <si>
    <t>Фьючерсный контракт на курс дирхам ОАЭ – российский рубль</t>
  </si>
  <si>
    <t>AED</t>
  </si>
  <si>
    <t>AEZ5</t>
  </si>
  <si>
    <t>https://www.moex.com/ru/contract.aspx?code=AEZ5</t>
  </si>
  <si>
    <t>GAZR-6.26</t>
  </si>
  <si>
    <t>AEH6</t>
  </si>
  <si>
    <t>https://www.moex.com/ru/contract.aspx?code=AEH6</t>
  </si>
  <si>
    <t>Фьючерсный контракт на курс доллар США - российский рубль</t>
  </si>
  <si>
    <t>Si-9.26</t>
  </si>
  <si>
    <t>Si</t>
  </si>
  <si>
    <t>SiU6</t>
  </si>
  <si>
    <t>https://www.moex.com/ru/contract.aspx?code=SiU6</t>
  </si>
  <si>
    <t>Si-6.26</t>
  </si>
  <si>
    <t>SiM6</t>
  </si>
  <si>
    <t>https://www.moex.com/ru/contract.aspx?code=SiM6</t>
  </si>
  <si>
    <t>Si-12.26</t>
  </si>
  <si>
    <t>SiZ6</t>
  </si>
  <si>
    <t>https://www.moex.com/ru/contract.aspx?code=SiZ6</t>
  </si>
  <si>
    <t>GMKN-12.25</t>
  </si>
  <si>
    <t>Si-12.25</t>
  </si>
  <si>
    <t>SiZ5</t>
  </si>
  <si>
    <t>https://www.moex.com/ru/contract.aspx?code=SiZ5</t>
  </si>
  <si>
    <t>Si-3.27</t>
  </si>
  <si>
    <t>SiH7</t>
  </si>
  <si>
    <t>https://www.moex.com/ru/contract.aspx?code=SiH7</t>
  </si>
  <si>
    <t>Si-3.26</t>
  </si>
  <si>
    <t>SiH6</t>
  </si>
  <si>
    <t>https://www.moex.com/ru/contract.aspx?code=SiH6</t>
  </si>
  <si>
    <t>Фьючерсный контракт на курс доллар США – китайский юань</t>
  </si>
  <si>
    <t>UCNY-12.25</t>
  </si>
  <si>
    <t>UCNY</t>
  </si>
  <si>
    <t>UCZ5</t>
  </si>
  <si>
    <t>https://www.moex.com/ru/contract.aspx?code=UCZ5</t>
  </si>
  <si>
    <t>Фьючерсный контракт на курс доллар США-швейцарский франк</t>
  </si>
  <si>
    <t>UCHF-12.25</t>
  </si>
  <si>
    <t>UCHF</t>
  </si>
  <si>
    <t>CFZ5</t>
  </si>
  <si>
    <t>https://www.moex.com/ru/contract.aspx?code=CFZ5</t>
  </si>
  <si>
    <t>UCHF-3.26</t>
  </si>
  <si>
    <t>CFH6</t>
  </si>
  <si>
    <t>https://www.moex.com/ru/contract.aspx?code=CFH6</t>
  </si>
  <si>
    <t>Фьючерсный контракт на курс евро-доллар США</t>
  </si>
  <si>
    <t>ED</t>
  </si>
  <si>
    <t>EDZ5</t>
  </si>
  <si>
    <t>https://www.moex.com/ru/contract.aspx?code=EDZ5</t>
  </si>
  <si>
    <t>Фьючерсный контракт на курс евро-российский рубль</t>
  </si>
  <si>
    <t>Eu</t>
  </si>
  <si>
    <t>EuU6</t>
  </si>
  <si>
    <t>https://www.moex.com/ru/contract.aspx?code=EuU6</t>
  </si>
  <si>
    <t>HYDR-12.25</t>
  </si>
  <si>
    <t>EuM6</t>
  </si>
  <si>
    <t>https://www.moex.com/ru/contract.aspx?code=EuM6</t>
  </si>
  <si>
    <t>EuH6</t>
  </si>
  <si>
    <t>https://www.moex.com/ru/contract.aspx?code=EuH6</t>
  </si>
  <si>
    <t>EuZ5</t>
  </si>
  <si>
    <t>https://www.moex.com/ru/contract.aspx?code=EuZ5</t>
  </si>
  <si>
    <t>Фьючерсный контракт на курс индийская рупия – российский рубль</t>
  </si>
  <si>
    <t>INR-3.26</t>
  </si>
  <si>
    <t>INR</t>
  </si>
  <si>
    <t>I2H6</t>
  </si>
  <si>
    <t>https://www.moex.com/ru/contract.aspx?code=I2H6</t>
  </si>
  <si>
    <t>INR-12.25</t>
  </si>
  <si>
    <t>I2Z5</t>
  </si>
  <si>
    <t>https://www.moex.com/ru/contract.aspx?code=I2Z5</t>
  </si>
  <si>
    <t>Фьючерсный контракт на курс казахстанский тенге – российский рубль</t>
  </si>
  <si>
    <t>KZT-12.25</t>
  </si>
  <si>
    <t>KZT</t>
  </si>
  <si>
    <t>KZZ5</t>
  </si>
  <si>
    <t>https://www.moex.com/ru/contract.aspx?code=KZZ5</t>
  </si>
  <si>
    <t>IRAO-12.25</t>
  </si>
  <si>
    <t>KZT-3.26</t>
  </si>
  <si>
    <t>KZH6</t>
  </si>
  <si>
    <t>https://www.moex.com/ru/contract.aspx?code=KZH6</t>
  </si>
  <si>
    <t>KMAZ-12.25</t>
  </si>
  <si>
    <t>Фьючерсный контракт на курс китайский юань – российский рубль</t>
  </si>
  <si>
    <t>CNY</t>
  </si>
  <si>
    <t>CRM6</t>
  </si>
  <si>
    <t>https://www.moex.com/ru/contract.aspx?code=CRM6</t>
  </si>
  <si>
    <t>CRZ5</t>
  </si>
  <si>
    <t>https://www.moex.com/ru/contract.aspx?code=CRZ5</t>
  </si>
  <si>
    <t>CRU6</t>
  </si>
  <si>
    <t>https://www.moex.com/ru/contract.aspx?code=CRU6</t>
  </si>
  <si>
    <t>LEAS-12.25</t>
  </si>
  <si>
    <t>CRH6</t>
  </si>
  <si>
    <t>https://www.moex.com/ru/contract.aspx?code=CRH6</t>
  </si>
  <si>
    <t>Фьючерсный контракт на курс турецкая лира – российский рубль</t>
  </si>
  <si>
    <t>TRY-12.25</t>
  </si>
  <si>
    <t>TRY</t>
  </si>
  <si>
    <t>TYZ5</t>
  </si>
  <si>
    <t>https://www.moex.com/ru/contract.aspx?code=TYZ5</t>
  </si>
  <si>
    <t>TRY-3.26</t>
  </si>
  <si>
    <t>TYH6</t>
  </si>
  <si>
    <t>https://www.moex.com/ru/contract.aspx?code=TYH6</t>
  </si>
  <si>
    <t>Фьючерсный контракт на медь</t>
  </si>
  <si>
    <t>COPPER</t>
  </si>
  <si>
    <t>CEZ5</t>
  </si>
  <si>
    <t>https://www.moex.com/ru/contract.aspx?code=CEZ5</t>
  </si>
  <si>
    <t>Фьючерсный контракт на нефть Брэнт</t>
  </si>
  <si>
    <t>BRM</t>
  </si>
  <si>
    <t>BMX5</t>
  </si>
  <si>
    <t>https://www.moex.com/ru/contract.aspx?code=BMX5</t>
  </si>
  <si>
    <t>BR</t>
  </si>
  <si>
    <t>BRH6</t>
  </si>
  <si>
    <t>https://www.moex.com/ru/contract.aspx?code=BRH6</t>
  </si>
  <si>
    <t>BRG6</t>
  </si>
  <si>
    <t>https://www.moex.com/ru/contract.aspx?code=BRG6</t>
  </si>
  <si>
    <t>MOEXCNY-12.25</t>
  </si>
  <si>
    <t>BRF6</t>
  </si>
  <si>
    <t>https://www.moex.com/ru/contract.aspx?code=BRF6</t>
  </si>
  <si>
    <t>BRJ6</t>
  </si>
  <si>
    <t>https://www.moex.com/ru/contract.aspx?code=BRJ6</t>
  </si>
  <si>
    <t>MTLR-12.25</t>
  </si>
  <si>
    <t>BRZ5</t>
  </si>
  <si>
    <t>https://www.moex.com/ru/contract.aspx?code=BRZ5</t>
  </si>
  <si>
    <t>Фьючерсный контракт на обыкновенные акции АК "АЛРОСА"</t>
  </si>
  <si>
    <t>ALRS</t>
  </si>
  <si>
    <t>ALZ5</t>
  </si>
  <si>
    <t>https://www.moex.com/ru/contract.aspx?code=ALZ5</t>
  </si>
  <si>
    <t>MXI-12.25</t>
  </si>
  <si>
    <t>Фьючерсный контракт на обыкновенные акции Банк ВТБ</t>
  </si>
  <si>
    <t>VTBR</t>
  </si>
  <si>
    <t>VBZ5</t>
  </si>
  <si>
    <t>https://www.moex.com/ru/contract.aspx?code=VBZ5</t>
  </si>
  <si>
    <t>Фьючерсный контракт на обыкновенные акции МКПАО "ЯНДЕКС"</t>
  </si>
  <si>
    <t>YDEX-9.25</t>
  </si>
  <si>
    <t>YDEX</t>
  </si>
  <si>
    <t>YDU5</t>
  </si>
  <si>
    <t>https://www.moex.com/ru/contract.aspx?code=YDU5</t>
  </si>
  <si>
    <t>YDEX-6.25</t>
  </si>
  <si>
    <t>YDM5</t>
  </si>
  <si>
    <t>https://www.moex.com/ru/contract.aspx?code=YDM5</t>
  </si>
  <si>
    <t>Фьючерсный контракт на обыкновенные акции МКПАО «ВК»</t>
  </si>
  <si>
    <t>VKCO</t>
  </si>
  <si>
    <t>VKZ5</t>
  </si>
  <si>
    <t>https://www.moex.com/ru/contract.aspx?code=VKZ5</t>
  </si>
  <si>
    <t>Фьючерсный контракт на обыкновенные акции МКПАО «ОК «РУСАЛ»</t>
  </si>
  <si>
    <t>RUAL-12.25</t>
  </si>
  <si>
    <t>RUAL</t>
  </si>
  <si>
    <t>RLZ5</t>
  </si>
  <si>
    <t>https://www.moex.com/ru/contract.aspx?code=RLZ5</t>
  </si>
  <si>
    <t>Фьючерсный контракт на обыкновенные акции ПАО "Аэрофлот"</t>
  </si>
  <si>
    <t>AFLT</t>
  </si>
  <si>
    <t>AFZ5</t>
  </si>
  <si>
    <t>https://www.moex.com/ru/contract.aspx?code=AFZ5</t>
  </si>
  <si>
    <t>Фьючерсный контракт на обыкновенные акции ПАО "ВУШ Холдинг"</t>
  </si>
  <si>
    <t>WUSH-12.25</t>
  </si>
  <si>
    <t>WUSH</t>
  </si>
  <si>
    <t>WUZ5</t>
  </si>
  <si>
    <t>https://www.moex.com/ru/contract.aspx?code=WUZ5</t>
  </si>
  <si>
    <t>WUSH-6.25</t>
  </si>
  <si>
    <t>WUM5</t>
  </si>
  <si>
    <t>https://www.moex.com/ru/contract.aspx?code=WUM5</t>
  </si>
  <si>
    <t>Фьючерсный контракт на обыкновенные акции ПАО "Группа Позитив"</t>
  </si>
  <si>
    <t>POSI-12.25</t>
  </si>
  <si>
    <t>POSI</t>
  </si>
  <si>
    <t>PSZ5</t>
  </si>
  <si>
    <t>https://www.moex.com/ru/contract.aspx?code=PSZ5</t>
  </si>
  <si>
    <t>NG-10.25</t>
  </si>
  <si>
    <t>Фьючерсный контракт на обыкновенные акции ПАО "ДВМП"</t>
  </si>
  <si>
    <t>FESH</t>
  </si>
  <si>
    <t>FEZ5</t>
  </si>
  <si>
    <t>https://www.moex.com/ru/contract.aspx?code=FEZ5</t>
  </si>
  <si>
    <t>NGM-10.25</t>
  </si>
  <si>
    <t>Фьючерсный контракт на обыкновенные акции ПАО "КАМАЗ"</t>
  </si>
  <si>
    <t>KMAZ</t>
  </si>
  <si>
    <t>KMZ5</t>
  </si>
  <si>
    <t>https://www.moex.com/ru/contract.aspx?code=KMZ5</t>
  </si>
  <si>
    <t>NICKEL-12.25</t>
  </si>
  <si>
    <t>Фьючерсный контракт на обыкновенные акции ПАО "ЛК "Европлан"</t>
  </si>
  <si>
    <t>LEAS</t>
  </si>
  <si>
    <t>LEZ5</t>
  </si>
  <si>
    <t>https://www.moex.com/ru/contract.aspx?code=LEZ5</t>
  </si>
  <si>
    <t>Фьючерсный контракт на обыкновенные акции ПАО "МОСКОВСКИЙ КРЕДИТНЫЙ БАНК"</t>
  </si>
  <si>
    <t>CBOM</t>
  </si>
  <si>
    <t>CMZ5</t>
  </si>
  <si>
    <t>https://www.moex.com/ru/contract.aspx?code=CMZ5</t>
  </si>
  <si>
    <t>Фьючерсный контракт на обыкновенные акции ПАО "НоваБев Групп"</t>
  </si>
  <si>
    <t>BELU</t>
  </si>
  <si>
    <t>NBZ5</t>
  </si>
  <si>
    <t>https://www.moex.com/ru/contract.aspx?code=NBZ5</t>
  </si>
  <si>
    <t>Фьючерсный контракт на обыкновенные акции ПАО "Распадская"</t>
  </si>
  <si>
    <t>RASP-12.25</t>
  </si>
  <si>
    <t>RASP</t>
  </si>
  <si>
    <t>RAZ5</t>
  </si>
  <si>
    <t>https://www.moex.com/ru/contract.aspx?code=RAZ5</t>
  </si>
  <si>
    <t>Фьючерсный контракт на обыкновенные акции ПАО “Сегежа Групп”</t>
  </si>
  <si>
    <t>SGZH-12.25</t>
  </si>
  <si>
    <t>SGZH</t>
  </si>
  <si>
    <t>SZZ5</t>
  </si>
  <si>
    <t>https://www.moex.com/ru/contract.aspx?code=SZZ5</t>
  </si>
  <si>
    <t>PIKK-12.25</t>
  </si>
  <si>
    <t>Фьючерсный контракт на обыкновенные акции ПАО "Совкомбанк"</t>
  </si>
  <si>
    <t>SVCB-12.25</t>
  </si>
  <si>
    <t>SVCB</t>
  </si>
  <si>
    <t>SCZ5</t>
  </si>
  <si>
    <t>https://www.moex.com/ru/contract.aspx?code=SCZ5</t>
  </si>
  <si>
    <t>PLD-12.25</t>
  </si>
  <si>
    <t>Фьючерсный контракт на обыкновенные акции ПАО “Совкомфлот”</t>
  </si>
  <si>
    <t>FLOT</t>
  </si>
  <si>
    <t>FLZ5</t>
  </si>
  <si>
    <t>https://www.moex.com/ru/contract.aspx?code=FLZ5</t>
  </si>
  <si>
    <t>PLT-12.25</t>
  </si>
  <si>
    <t>Фьючерсный контракт на обыкновенные акции ПАО "Софтлайн"</t>
  </si>
  <si>
    <t>SOFL-12.25</t>
  </si>
  <si>
    <t>SOFL</t>
  </si>
  <si>
    <t>S0Z5</t>
  </si>
  <si>
    <t>https://www.moex.com/ru/contract.aspx?code=S0Z5</t>
  </si>
  <si>
    <t>Фьючерсный контракт на обыкновенные акции ПАО "СПБ Биржа"</t>
  </si>
  <si>
    <t>SPBE</t>
  </si>
  <si>
    <t>SEZ5</t>
  </si>
  <si>
    <t>https://www.moex.com/ru/contract.aspx?code=SEZ5</t>
  </si>
  <si>
    <t>Фьючерсный контракт на обыкновенные акции ПАО "ФосАгро"</t>
  </si>
  <si>
    <t>PHOR</t>
  </si>
  <si>
    <t>PHZ5</t>
  </si>
  <si>
    <t>https://www.moex.com/ru/contract.aspx?code=PHZ5</t>
  </si>
  <si>
    <t>Фьючерсный контракт на обыкновенные акции ПАО "ЭсЭфАй"</t>
  </si>
  <si>
    <t>SFIN-12.25</t>
  </si>
  <si>
    <t>SFIN</t>
  </si>
  <si>
    <t>SHZ5</t>
  </si>
  <si>
    <t>https://www.moex.com/ru/contract.aspx?code=SHZ5</t>
  </si>
  <si>
    <t>Фьючерсный контракт на обыкновенные акции ПАО «Акционерная финансовая 
корпорация «Система»</t>
  </si>
  <si>
    <t>AFKS</t>
  </si>
  <si>
    <t>AKZ5</t>
  </si>
  <si>
    <t>https://www.moex.com/ru/contract.aspx?code=AKZ5</t>
  </si>
  <si>
    <t>RNFT-12.25</t>
  </si>
  <si>
    <t>Фьючерсный контракт на обыкновенные акции ПАО «Банк «Санкт-Петербург»</t>
  </si>
  <si>
    <t>BSPB</t>
  </si>
  <si>
    <t>BSZ5</t>
  </si>
  <si>
    <t>https://www.moex.com/ru/contract.aspx?code=BSZ5</t>
  </si>
  <si>
    <t>Фьючерсный контракт на обыкновенные акции ПАО «Газпром»</t>
  </si>
  <si>
    <t>GAZP</t>
  </si>
  <si>
    <t>GZM6</t>
  </si>
  <si>
    <t>https://www.moex.com/ru/contract.aspx?code=GZM6</t>
  </si>
  <si>
    <t>ROSN-3.26</t>
  </si>
  <si>
    <t>GZZ5</t>
  </si>
  <si>
    <t>https://www.moex.com/ru/contract.aspx?code=GZZ5</t>
  </si>
  <si>
    <t>ROSN-6.26</t>
  </si>
  <si>
    <t>Фьючерсный контракт на обыкновенные акции ПАО «ГМК «Норильский никель»</t>
  </si>
  <si>
    <t>GMKN</t>
  </si>
  <si>
    <t>GKZ5</t>
  </si>
  <si>
    <t>https://www.moex.com/ru/contract.aspx?code=GKZ5</t>
  </si>
  <si>
    <t>Фьючерсный контракт на обыкновенные акции ПАО «Группа компаний «Самолет»</t>
  </si>
  <si>
    <t>SMLT-12.25</t>
  </si>
  <si>
    <t>SMLT</t>
  </si>
  <si>
    <t>SSZ5</t>
  </si>
  <si>
    <t>https://www.moex.com/ru/contract.aspx?code=SSZ5</t>
  </si>
  <si>
    <t>Фьючерсный контракт на обыкновенные акции ПАО «Интер РАО ЕЭС»</t>
  </si>
  <si>
    <t>IRAO</t>
  </si>
  <si>
    <t>IRZ5</t>
  </si>
  <si>
    <t>https://www.moex.com/ru/contract.aspx?code=IRZ5</t>
  </si>
  <si>
    <t>Фьючерсный контракт на обыкновенные акции ПАО «Корпоративный центр ИКС 5»</t>
  </si>
  <si>
    <t>X5-12.25</t>
  </si>
  <si>
    <t>X5</t>
  </si>
  <si>
    <t>X5Z5</t>
  </si>
  <si>
    <t>https://www.moex.com/ru/contract.aspx?code=X5Z5</t>
  </si>
  <si>
    <t>Фьючерсный контракт на обыкновенные акции ПАО «Магнит»</t>
  </si>
  <si>
    <t>MGNT</t>
  </si>
  <si>
    <t>MNZ5</t>
  </si>
  <si>
    <t>https://www.moex.com/ru/contract.aspx?code=MNZ5</t>
  </si>
  <si>
    <t>Фьючерсный контракт на обыкновенные акции ПАО «Мечел»</t>
  </si>
  <si>
    <t>MTLR</t>
  </si>
  <si>
    <t>MCZ5</t>
  </si>
  <si>
    <t>https://www.moex.com/ru/contract.aspx?code=MCZ5</t>
  </si>
  <si>
    <t>Фьючерсный контракт на обыкновенные акции ПАО «МТС»</t>
  </si>
  <si>
    <t>MTSS</t>
  </si>
  <si>
    <t>MTZ5</t>
  </si>
  <si>
    <t>https://www.moex.com/ru/contract.aspx?code=MTZ5</t>
  </si>
  <si>
    <t>Фьючерсный контракт на обыкновенные акции ПАО «НК «ЛУКОЙЛ»</t>
  </si>
  <si>
    <t>LKOH</t>
  </si>
  <si>
    <t>LKZ5</t>
  </si>
  <si>
    <t>https://www.moex.com/ru/contract.aspx?code=LKZ5</t>
  </si>
  <si>
    <t>Фьючерсный контракт на обыкновенные акции ПАО «НК «Роснефть»</t>
  </si>
  <si>
    <t>ROSN</t>
  </si>
  <si>
    <t>RNM6</t>
  </si>
  <si>
    <t>https://www.moex.com/ru/contract.aspx?code=RNM6</t>
  </si>
  <si>
    <t>RNH6</t>
  </si>
  <si>
    <t>https://www.moex.com/ru/contract.aspx?code=RNH6</t>
  </si>
  <si>
    <t>RNZ5</t>
  </si>
  <si>
    <t>https://www.moex.com/ru/contract.aspx?code=RNZ5</t>
  </si>
  <si>
    <t>RUON-1.26</t>
  </si>
  <si>
    <t>Фьючерсный контракт на обыкновенные акции ПАО «НЛМК»</t>
  </si>
  <si>
    <t>NLMK</t>
  </si>
  <si>
    <t>NMZ5</t>
  </si>
  <si>
    <t>https://www.moex.com/ru/contract.aspx?code=NMZ5</t>
  </si>
  <si>
    <t>RUON-10.25</t>
  </si>
  <si>
    <t>Фьючерсный контракт на обыкновенные акции ПАО «НОВАТЭК»</t>
  </si>
  <si>
    <t>NVTK</t>
  </si>
  <si>
    <t>NKZ5</t>
  </si>
  <si>
    <t>https://www.moex.com/ru/contract.aspx?code=NKZ5</t>
  </si>
  <si>
    <t>RUON-11.25</t>
  </si>
  <si>
    <t>Фьючерсный контракт на обыкновенные акции ПАО «ПИК СЗ»</t>
  </si>
  <si>
    <t>PIKK</t>
  </si>
  <si>
    <t>PIZ5</t>
  </si>
  <si>
    <t>https://www.moex.com/ru/contract.aspx?code=PIZ5</t>
  </si>
  <si>
    <t>RUON-12.25</t>
  </si>
  <si>
    <t>Фьючерсный контракт на обыкновенные акции ПАО «Ростелеком»</t>
  </si>
  <si>
    <t>RTKM</t>
  </si>
  <si>
    <t>RTZ5</t>
  </si>
  <si>
    <t>https://www.moex.com/ru/contract.aspx?code=RTZ5</t>
  </si>
  <si>
    <t>RUON-2.26</t>
  </si>
  <si>
    <t>Фьючерсный контракт на обыкновенные акции ПАО «РусГидро»</t>
  </si>
  <si>
    <t>HYDR</t>
  </si>
  <si>
    <t>HYZ5</t>
  </si>
  <si>
    <t>https://www.moex.com/ru/contract.aspx?code=HYZ5</t>
  </si>
  <si>
    <t>RUON-3.26</t>
  </si>
  <si>
    <t>Фьючерсный контракт на обыкновенные акции ПАО «Сургутнефтегаз»</t>
  </si>
  <si>
    <t>SNGR-12.25</t>
  </si>
  <si>
    <t>SNGR</t>
  </si>
  <si>
    <t>SNZ5</t>
  </si>
  <si>
    <t>https://www.moex.com/ru/contract.aspx?code=SNZ5</t>
  </si>
  <si>
    <t>RUON-4.26</t>
  </si>
  <si>
    <t>Фьючерсный контракт на обыкновенные акции ПАО «Татнефть» им. В.Д. Шашина</t>
  </si>
  <si>
    <t>TATN</t>
  </si>
  <si>
    <t>TTZ5</t>
  </si>
  <si>
    <t>https://www.moex.com/ru/contract.aspx?code=TTZ5</t>
  </si>
  <si>
    <t>RUON-5.26</t>
  </si>
  <si>
    <t>Фьючерсный контракт на обыкновенные акции ПАО «Федеральная сетевая 
компания-Россети»</t>
  </si>
  <si>
    <t>FEES</t>
  </si>
  <si>
    <t>FSZ5</t>
  </si>
  <si>
    <t>https://www.moex.com/ru/contract.aspx?code=FSZ5</t>
  </si>
  <si>
    <t>Фьючерсный контракт на обыкновенные акции ПАО АНК "Башнефть"</t>
  </si>
  <si>
    <t>BANE</t>
  </si>
  <si>
    <t>BNH6</t>
  </si>
  <si>
    <t>https://www.moex.com/ru/contract.aspx?code=BNH6</t>
  </si>
  <si>
    <t>SBPR-12.25</t>
  </si>
  <si>
    <t>BNZ5</t>
  </si>
  <si>
    <t>https://www.moex.com/ru/contract.aspx?code=BNZ5</t>
  </si>
  <si>
    <t>Фьючерсный контракт на обыкновенные акции ПАО Группа Астра</t>
  </si>
  <si>
    <t>ASTR</t>
  </si>
  <si>
    <t>ASZ5</t>
  </si>
  <si>
    <t>https://www.moex.com/ru/contract.aspx?code=ASZ5</t>
  </si>
  <si>
    <t>Фьючерсный контракт на обыкновенные акции ПАО Московская Биржа</t>
  </si>
  <si>
    <t>MOEX</t>
  </si>
  <si>
    <t>MEZ5</t>
  </si>
  <si>
    <t>https://www.moex.com/ru/contract.aspx?code=MEZ5</t>
  </si>
  <si>
    <t>Фьючерсный контракт на обыкновенные акции ПАО НК "РуссНефть"</t>
  </si>
  <si>
    <t>RNFT</t>
  </si>
  <si>
    <t>RUZ5</t>
  </si>
  <si>
    <t>https://www.moex.com/ru/contract.aspx?code=RUZ5</t>
  </si>
  <si>
    <t>Фьючерсный контракт на палладий</t>
  </si>
  <si>
    <t>PLD</t>
  </si>
  <si>
    <t>PDZ5</t>
  </si>
  <si>
    <t>https://www.moex.com/ru/contract.aspx?code=PDZ5</t>
  </si>
  <si>
    <t>Фьючерсный контракт на платину</t>
  </si>
  <si>
    <t>PLT</t>
  </si>
  <si>
    <t>PTZ5</t>
  </si>
  <si>
    <t>https://www.moex.com/ru/contract.aspx?code=PTZ5</t>
  </si>
  <si>
    <t>Фьючерсный контракт на привилегированные акции ПАО «Сургутнефтегаз»</t>
  </si>
  <si>
    <t>SNGSP</t>
  </si>
  <si>
    <t>SGZ5</t>
  </si>
  <si>
    <t>https://www.moex.com/ru/contract.aspx?code=SGZ5</t>
  </si>
  <si>
    <t>Фьючерсный контракт на привилегированные акции ПАО «Татнефть» им. В.Д. 
Шашина</t>
  </si>
  <si>
    <t>TATNP</t>
  </si>
  <si>
    <t>TPZ5</t>
  </si>
  <si>
    <t>https://www.moex.com/ru/contract.aspx?code=TPZ5</t>
  </si>
  <si>
    <t>Фьючерсный контракт на привилегированные акции ПАО Сбербанк</t>
  </si>
  <si>
    <t>SBERP</t>
  </si>
  <si>
    <t>SPZ5</t>
  </si>
  <si>
    <t>https://www.moex.com/ru/contract.aspx?code=SPZ5</t>
  </si>
  <si>
    <t>Фьючерсный контракт на природный газ Генри Хаб</t>
  </si>
  <si>
    <t>NGM</t>
  </si>
  <si>
    <t>NRV5</t>
  </si>
  <si>
    <t>https://www.moex.com/ru/contract.aspx?code=NRV5</t>
  </si>
  <si>
    <t>NG</t>
  </si>
  <si>
    <t>NGV5</t>
  </si>
  <si>
    <t>https://www.moex.com/ru/contract.aspx?code=NGV5</t>
  </si>
  <si>
    <t>SILV-12.25</t>
  </si>
  <si>
    <t>Фьючерсный контракт на пшеницу</t>
  </si>
  <si>
    <t>WHEAT-2.26</t>
  </si>
  <si>
    <t>WHEAT</t>
  </si>
  <si>
    <t>W4G6</t>
  </si>
  <si>
    <t>https://www.moex.com/ru/contract.aspx?code=W4G6</t>
  </si>
  <si>
    <t>SILV-3.26</t>
  </si>
  <si>
    <t>WHEAT-4.26</t>
  </si>
  <si>
    <t>W4J6</t>
  </si>
  <si>
    <t>https://www.moex.com/ru/contract.aspx?code=W4J6</t>
  </si>
  <si>
    <t>WHEAT-3.26</t>
  </si>
  <si>
    <t>W4H6</t>
  </si>
  <si>
    <t>https://www.moex.com/ru/contract.aspx?code=W4H6</t>
  </si>
  <si>
    <t>WHEAT-12.25</t>
  </si>
  <si>
    <t>W4Z5</t>
  </si>
  <si>
    <t>https://www.moex.com/ru/contract.aspx?code=W4Z5</t>
  </si>
  <si>
    <t>WHEAT-11.25</t>
  </si>
  <si>
    <t>W4X5</t>
  </si>
  <si>
    <t>https://www.moex.com/ru/contract.aspx?code=W4X5</t>
  </si>
  <si>
    <t>WHEAT-10.25</t>
  </si>
  <si>
    <t>W4V5</t>
  </si>
  <si>
    <t>https://www.moex.com/ru/contract.aspx?code=W4V5</t>
  </si>
  <si>
    <t>WHEAT-1.26</t>
  </si>
  <si>
    <t>W4F6</t>
  </si>
  <si>
    <t>https://www.moex.com/ru/contract.aspx?code=W4F6</t>
  </si>
  <si>
    <t>Фьючерсный контракт на серебро</t>
  </si>
  <si>
    <t>SILV</t>
  </si>
  <si>
    <t>SVH6</t>
  </si>
  <si>
    <t>https://www.moex.com/ru/contract.aspx?code=SVH6</t>
  </si>
  <si>
    <t>SVZ5</t>
  </si>
  <si>
    <t>https://www.moex.com/ru/contract.aspx?code=SVZ5</t>
  </si>
  <si>
    <t>Фьючерсный контракт на ставку RUSFAR</t>
  </si>
  <si>
    <t>1MFR</t>
  </si>
  <si>
    <t>MFK6</t>
  </si>
  <si>
    <t>https://www.moex.com/ru/contract.aspx?code=MFK6</t>
  </si>
  <si>
    <t>T-12.25</t>
  </si>
  <si>
    <t>MFH6</t>
  </si>
  <si>
    <t>https://www.moex.com/ru/contract.aspx?code=MFH6</t>
  </si>
  <si>
    <t>MFZ5</t>
  </si>
  <si>
    <t>https://www.moex.com/ru/contract.aspx?code=MFZ5</t>
  </si>
  <si>
    <t>MFJ6</t>
  </si>
  <si>
    <t>https://www.moex.com/ru/contract.aspx?code=MFJ6</t>
  </si>
  <si>
    <t>MFX5</t>
  </si>
  <si>
    <t>https://www.moex.com/ru/contract.aspx?code=MFX5</t>
  </si>
  <si>
    <t>MFG6</t>
  </si>
  <si>
    <t>https://www.moex.com/ru/contract.aspx?code=MFG6</t>
  </si>
  <si>
    <t>MFV5</t>
  </si>
  <si>
    <t>https://www.moex.com/ru/contract.aspx?code=MFV5</t>
  </si>
  <si>
    <t>MFF6</t>
  </si>
  <si>
    <t>https://www.moex.com/ru/contract.aspx?code=MFF6</t>
  </si>
  <si>
    <t>фьючерсный контракт на ставку однодневных кредитов RUONIA</t>
  </si>
  <si>
    <t>RUON</t>
  </si>
  <si>
    <t>RRK6</t>
  </si>
  <si>
    <t>https://www.moex.com/ru/contract.aspx?code=RRK6</t>
  </si>
  <si>
    <t>RRJ6</t>
  </si>
  <si>
    <t>https://www.moex.com/ru/contract.aspx?code=RRJ6</t>
  </si>
  <si>
    <t>UCNY-3.26</t>
  </si>
  <si>
    <t>RRX5</t>
  </si>
  <si>
    <t>https://www.moex.com/ru/contract.aspx?code=RRX5</t>
  </si>
  <si>
    <t>RRZ5</t>
  </si>
  <si>
    <t>https://www.moex.com/ru/contract.aspx?code=RRZ5</t>
  </si>
  <si>
    <t>RRH6</t>
  </si>
  <si>
    <t>https://www.moex.com/ru/contract.aspx?code=RRH6</t>
  </si>
  <si>
    <t>RRG6</t>
  </si>
  <si>
    <t>https://www.moex.com/ru/contract.aspx?code=RRG6</t>
  </si>
  <si>
    <t>RRV5</t>
  </si>
  <si>
    <t>https://www.moex.com/ru/contract.aspx?code=RRV5</t>
  </si>
  <si>
    <t>RRF6</t>
  </si>
  <si>
    <t>https://www.moex.com/ru/contract.aspx?code=RRF6</t>
  </si>
  <si>
    <t>ZINC-6.25</t>
  </si>
  <si>
    <t>ZCM5</t>
  </si>
  <si>
    <t>https://www.moex.com/ru/contract.aspx?code=ZCM5</t>
  </si>
  <si>
    <t>UCH6</t>
  </si>
  <si>
    <t>https://www.moex.com/ru/contract.aspx?code=UCH6</t>
  </si>
  <si>
    <t>Фьючерсный контракт на привилегированные акции ПАО «Транснефть»</t>
  </si>
  <si>
    <t>TRNFP</t>
  </si>
  <si>
    <t>TNZ5</t>
  </si>
  <si>
    <t>https://www.moex.com/ru/contract.aspx?code=TNZ5</t>
  </si>
  <si>
    <t>Фьючерсный контракт на обыкновенные акции МКПАО "Т-Технологии</t>
  </si>
  <si>
    <t>T</t>
  </si>
  <si>
    <t>TBZ5</t>
  </si>
  <si>
    <t>https://www.moex.com/ru/contract.aspx?code=TBZ5</t>
  </si>
  <si>
    <t>Фьючерсный контракт на обыкновенные акции ПАО Сбербанк</t>
  </si>
  <si>
    <t>SBER</t>
  </si>
  <si>
    <t>SRZ5</t>
  </si>
  <si>
    <t>https://www.moex.com/ru/contract.aspx?code=SRZ5</t>
  </si>
  <si>
    <t>Фьючерсный контракт на никель</t>
  </si>
  <si>
    <t>NICKEL</t>
  </si>
  <si>
    <t>NCZ5</t>
  </si>
  <si>
    <t>https://www.moex.com/ru/contract.aspx?code=NCZ5</t>
  </si>
  <si>
    <t>Фьючерсный контракт на Индекс МосБиржи (мини)</t>
  </si>
  <si>
    <t>MMZ5</t>
  </si>
  <si>
    <t>https://www.moex.com/ru/contract.aspx?code=MMZ5</t>
  </si>
  <si>
    <t>MYZ5</t>
  </si>
  <si>
    <t>https://www.moex.com/ru/contract.aspx?code=MYZ5</t>
  </si>
  <si>
    <t>Фьючерсный контракт на обыкновенные акции ПАО «Магнитогорский металлургический комбинат»</t>
  </si>
  <si>
    <t>MAGN</t>
  </si>
  <si>
    <t>MGZ5</t>
  </si>
  <si>
    <t>https://www.moex.com/ru/contract.aspx?code=MGZ5</t>
  </si>
  <si>
    <t>GZH6</t>
  </si>
  <si>
    <t>https://www.moex.com/ru/contract.aspx?code=GZH6</t>
  </si>
  <si>
    <t>Фьючерсный контракт на обыкновенные акции ПАО «Северсталь»</t>
  </si>
  <si>
    <t>CHMF</t>
  </si>
  <si>
    <t>CHZ5</t>
  </si>
  <si>
    <t>https://www.moex.com/ru/contract.aspx?code=CHZ5</t>
  </si>
  <si>
    <t>BRX5</t>
  </si>
  <si>
    <t>https://www.moex.com/ru/contract.aspx?code=BRX5</t>
  </si>
  <si>
    <t>Получаем контракты, отклонение от справедливой стоимости которых составляет более чем 2.5%.  Эти данные каждый час поступают в телеграм-бот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</si>
</sst>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dd.MM.yyyy H:mm:ss"/>
  </numFmts>
  <fonts count="29">
    <font>
      <sz val="10.0"/>
      <color rgb="FF000000"/>
      <name val="Georgia"/>
      <scheme val="minor"/>
    </font>
    <font>
      <b/>
      <sz val="8.0"/>
      <color theme="1"/>
      <name val="Comfortaa"/>
    </font>
    <font>
      <sz val="10.0"/>
      <color theme="1"/>
      <name val="Comfortaa"/>
    </font>
    <font>
      <b/>
      <sz val="10.0"/>
      <color rgb="FF1C4587"/>
      <name val="Comfortaa"/>
    </font>
    <font>
      <u/>
      <sz val="10.0"/>
      <color rgb="FF999999"/>
      <name val="Comfortaa"/>
    </font>
    <font>
      <b/>
      <sz val="10.0"/>
      <color theme="4"/>
      <name val="Comfortaa"/>
    </font>
    <font>
      <sz val="10.0"/>
      <color rgb="FF000000"/>
      <name val="Comfortaa"/>
    </font>
    <font>
      <u/>
      <sz val="10.0"/>
      <color rgb="FF999999"/>
      <name val="Comfortaa"/>
    </font>
    <font>
      <b/>
      <sz val="10.0"/>
      <color theme="1"/>
      <name val="Comfortaa"/>
    </font>
    <font>
      <b/>
      <sz val="11.0"/>
      <color theme="1"/>
      <name val="Comfortaa"/>
    </font>
    <font>
      <u/>
      <sz val="10.0"/>
      <color rgb="FF999999"/>
      <name val="Comfortaa"/>
    </font>
    <font>
      <u/>
      <sz val="10.0"/>
      <color rgb="FF999999"/>
      <name val="Comfortaa"/>
    </font>
    <font>
      <b/>
      <sz val="10.0"/>
      <color rgb="FF000000"/>
      <name val="Comfortaa"/>
    </font>
    <font>
      <u/>
      <sz val="10.0"/>
      <color rgb="FF999999"/>
      <name val="Comfortaa"/>
    </font>
    <font>
      <u/>
      <sz val="10.0"/>
      <color rgb="FF999999"/>
      <name val="Comfortaa"/>
    </font>
    <font>
      <u/>
      <sz val="9.0"/>
      <color rgb="FF999999"/>
      <name val="Comfortaa"/>
    </font>
    <font>
      <b/>
      <sz val="11.0"/>
      <color rgb="FF1C4587"/>
      <name val="Comfortaa"/>
    </font>
    <font>
      <b/>
      <sz val="11.0"/>
      <color rgb="FF000000"/>
      <name val="Comfortaa"/>
    </font>
    <font>
      <color theme="1"/>
      <name val="Comfortaa"/>
    </font>
    <font>
      <sz val="9.0"/>
      <color theme="1"/>
      <name val="Comfortaa"/>
    </font>
    <font>
      <u/>
      <sz val="8.0"/>
      <color rgb="FF0000FF"/>
      <name val="Comfortaa"/>
    </font>
    <font>
      <b/>
      <color theme="1"/>
      <name val="Comfortaa"/>
    </font>
    <font>
      <b/>
      <sz val="9.0"/>
      <color theme="1"/>
      <name val="Comfortaa"/>
    </font>
    <font>
      <b/>
      <sz val="9.0"/>
      <color rgb="FFFFFFFF"/>
      <name val="Comfortaa"/>
    </font>
    <font>
      <color theme="1"/>
      <name val="Georgia"/>
      <scheme val="minor"/>
    </font>
    <font>
      <b/>
      <sz val="8.0"/>
      <color rgb="FF1A3438"/>
      <name val="Comfortaa"/>
    </font>
    <font>
      <sz val="8.0"/>
      <color theme="1"/>
      <name val="Comfortaa"/>
    </font>
    <font>
      <color rgb="FF000000"/>
      <name val="Comfortaa"/>
    </font>
    <font>
      <u/>
      <sz val="8.0"/>
      <color rgb="FF0000FF"/>
      <name val="Comfortaa"/>
    </font>
  </fonts>
  <fills count="10">
    <fill>
      <patternFill patternType="none"/>
    </fill>
    <fill>
      <patternFill patternType="lightGray"/>
    </fill>
    <fill>
      <patternFill patternType="solid">
        <fgColor rgb="FF2C5575"/>
        <bgColor rgb="FF2C5575"/>
      </patternFill>
    </fill>
    <fill>
      <patternFill patternType="solid">
        <fgColor rgb="FF999999"/>
        <bgColor rgb="FF999999"/>
      </patternFill>
    </fill>
    <fill>
      <patternFill patternType="solid">
        <fgColor rgb="FF4A86E8"/>
        <bgColor rgb="FF4A86E8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FFF2CC"/>
        <bgColor rgb="FFFFF2CC"/>
      </patternFill>
    </fill>
  </fills>
  <borders count="24">
    <border/>
    <border>
      <left style="thin">
        <color rgb="FF455974"/>
      </left>
      <right style="thin">
        <color rgb="FF5C779B"/>
      </right>
      <top style="thin">
        <color rgb="FF455974"/>
      </top>
      <bottom style="thin">
        <color rgb="FF455974"/>
      </bottom>
    </border>
    <border>
      <left style="thin">
        <color rgb="FF2C5575"/>
      </left>
      <right style="thin">
        <color rgb="FF2C5575"/>
      </right>
      <top style="thin">
        <color rgb="FF455974"/>
      </top>
      <bottom style="thin">
        <color rgb="FF455974"/>
      </bottom>
    </border>
    <border>
      <left style="thin">
        <color rgb="FF5C779B"/>
      </left>
      <right style="thin">
        <color rgb="FF5C779B"/>
      </right>
      <top style="thin">
        <color rgb="FF455974"/>
      </top>
      <bottom style="thin">
        <color rgb="FF455974"/>
      </bottom>
    </border>
    <border>
      <left style="thin">
        <color rgb="FF999999"/>
      </left>
      <right style="thin">
        <color rgb="FF999999"/>
      </right>
      <top style="thin">
        <color rgb="FF455974"/>
      </top>
      <bottom style="thin">
        <color rgb="FF455974"/>
      </bottom>
    </border>
    <border>
      <left style="thin">
        <color rgb="FF4A86E8"/>
      </left>
      <right style="thin">
        <color rgb="FF4A86E8"/>
      </right>
      <top style="thin">
        <color rgb="FF455974"/>
      </top>
      <bottom style="thin">
        <color rgb="FF455974"/>
      </bottom>
    </border>
    <border>
      <left style="thin">
        <color rgb="FFB7B7B7"/>
      </left>
      <right style="thin">
        <color rgb="FF455974"/>
      </right>
      <top style="thin">
        <color rgb="FF455974"/>
      </top>
      <bottom style="thin">
        <color rgb="FF455974"/>
      </bottom>
    </border>
    <border>
      <left style="thin">
        <color rgb="FF455974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55974"/>
      </right>
      <top style="thin">
        <color rgb="FFFFFFFF"/>
      </top>
      <bottom style="thin">
        <color rgb="FFFFFFFF"/>
      </bottom>
    </border>
    <border>
      <left style="thin">
        <color rgb="FF455974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455974"/>
      </right>
      <top style="thin">
        <color rgb="FFF6F8F9"/>
      </top>
      <bottom style="thin">
        <color rgb="FFF6F8F9"/>
      </bottom>
    </border>
    <border>
      <left style="thin">
        <color rgb="FF455974"/>
      </left>
      <right style="thin">
        <color rgb="FFFFFFFF"/>
      </right>
      <top style="thin">
        <color rgb="FFFFFFFF"/>
      </top>
      <bottom style="thin">
        <color rgb="FF455974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55974"/>
      </bottom>
    </border>
    <border>
      <left style="thin">
        <color rgb="FFFFFFFF"/>
      </left>
      <right style="thin">
        <color rgb="FF455974"/>
      </right>
      <top style="thin">
        <color rgb="FFFFFFFF"/>
      </top>
      <bottom style="thin">
        <color rgb="FF455974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B79999"/>
      </left>
      <right style="thin">
        <color rgb="FFB79999"/>
      </right>
      <top style="thin">
        <color rgb="FFB79999"/>
      </top>
      <bottom style="thin">
        <color rgb="FFB79999"/>
      </bottom>
    </border>
    <border>
      <left style="thin">
        <color rgb="FFB7999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B79999"/>
      </right>
      <top style="thin">
        <color rgb="FFD9D9D9"/>
      </top>
      <bottom style="thin">
        <color rgb="FFD9D9D9"/>
      </bottom>
    </border>
    <border>
      <left style="thin">
        <color rgb="FFB79999"/>
      </left>
      <right style="thin">
        <color rgb="FFD9D9D9"/>
      </right>
      <top style="thin">
        <color rgb="FFD9D9D9"/>
      </top>
      <bottom style="thin">
        <color rgb="FFB7999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B79999"/>
      </bottom>
    </border>
    <border>
      <left style="thin">
        <color rgb="FFD9D9D9"/>
      </left>
      <right style="thin">
        <color rgb="FFB79999"/>
      </right>
      <top style="thin">
        <color rgb="FFD9D9D9"/>
      </top>
      <bottom style="thin">
        <color rgb="FFB79999"/>
      </bottom>
    </border>
  </borders>
  <cellStyleXfs count="1">
    <xf borderId="0" fillId="0" fontId="0" numFmtId="0" applyAlignment="1" applyFont="1"/>
  </cellStyleXfs>
  <cellXfs count="137">
    <xf borderId="0" fillId="0" fontId="0" numFmtId="0" xfId="0" applyAlignment="1" applyFont="1">
      <alignment readingOrder="0" shrinkToFit="0" vertical="bottom" wrapText="0"/>
    </xf>
    <xf borderId="1" fillId="0" fontId="1" numFmtId="49" xfId="0" applyAlignment="1" applyBorder="1" applyFont="1" applyNumberFormat="1">
      <alignment horizontal="center" readingOrder="0" shrinkToFit="0" vertical="center" wrapText="1"/>
    </xf>
    <xf borderId="2" fillId="2" fontId="1" numFmtId="0" xfId="0" applyAlignment="1" applyBorder="1" applyFill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4" fillId="3" fontId="1" numFmtId="0" xfId="0" applyAlignment="1" applyBorder="1" applyFill="1" applyFont="1">
      <alignment horizontal="center" readingOrder="0" shrinkToFit="0" vertical="center" wrapText="1"/>
    </xf>
    <xf borderId="3" fillId="0" fontId="1" numFmtId="4" xfId="0" applyAlignment="1" applyBorder="1" applyFont="1" applyNumberForma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5" fillId="4" fontId="1" numFmtId="0" xfId="0" applyAlignment="1" applyBorder="1" applyFill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3" fillId="0" fontId="1" numFmtId="49" xfId="0" applyAlignment="1" applyBorder="1" applyFont="1" applyNumberFormat="1">
      <alignment horizontal="center" readingOrder="0" shrinkToFit="0" vertical="center" wrapText="1"/>
    </xf>
    <xf borderId="6" fillId="5" fontId="1" numFmtId="0" xfId="0" applyAlignment="1" applyBorder="1" applyFill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7" fillId="0" fontId="2" numFmtId="0" xfId="0" applyAlignment="1" applyBorder="1" applyFont="1">
      <alignment shrinkToFit="0" vertical="center" wrapText="1"/>
    </xf>
    <xf borderId="8" fillId="0" fontId="3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horizontal="center" shrinkToFit="0" vertical="center" wrapText="1"/>
    </xf>
    <xf borderId="8" fillId="0" fontId="4" numFmtId="0" xfId="0" applyAlignment="1" applyBorder="1" applyFont="1">
      <alignment shrinkToFit="0" vertical="center" wrapText="1"/>
    </xf>
    <xf borderId="8" fillId="0" fontId="2" numFmtId="0" xfId="0" applyAlignment="1" applyBorder="1" applyFont="1">
      <alignment shrinkToFit="0" vertical="center" wrapText="0"/>
    </xf>
    <xf borderId="8" fillId="0" fontId="2" numFmtId="4" xfId="0" applyAlignment="1" applyBorder="1" applyFont="1" applyNumberFormat="1">
      <alignment shrinkToFit="0" vertical="center" wrapText="0"/>
    </xf>
    <xf borderId="8" fillId="0" fontId="2" numFmtId="0" xfId="0" applyAlignment="1" applyBorder="1" applyFont="1">
      <alignment horizontal="right" shrinkToFit="0" vertical="center" wrapText="1"/>
    </xf>
    <xf borderId="8" fillId="0" fontId="2" numFmtId="164" xfId="0" applyAlignment="1" applyBorder="1" applyFont="1" applyNumberFormat="1">
      <alignment horizontal="right" shrinkToFit="0" vertical="center" wrapText="1"/>
    </xf>
    <xf borderId="8" fillId="0" fontId="5" numFmtId="0" xfId="0" applyAlignment="1" applyBorder="1" applyFont="1">
      <alignment horizontal="center" shrinkToFit="0" vertical="center" wrapText="0"/>
    </xf>
    <xf borderId="8" fillId="0" fontId="6" numFmtId="0" xfId="0" applyAlignment="1" applyBorder="1" applyFont="1">
      <alignment shrinkToFit="0" vertical="center" wrapText="0"/>
    </xf>
    <xf borderId="8" fillId="0" fontId="7" numFmtId="0" xfId="0" applyAlignment="1" applyBorder="1" applyFont="1">
      <alignment shrinkToFit="0" vertical="center" wrapText="1"/>
    </xf>
    <xf borderId="8" fillId="0" fontId="2" numFmtId="10" xfId="0" applyAlignment="1" applyBorder="1" applyFont="1" applyNumberFormat="1">
      <alignment readingOrder="0" shrinkToFit="0" vertical="center" wrapText="0"/>
    </xf>
    <xf borderId="8" fillId="0" fontId="8" numFmtId="10" xfId="0" applyAlignment="1" applyBorder="1" applyFont="1" applyNumberFormat="1">
      <alignment shrinkToFit="0" vertical="center" wrapText="0"/>
    </xf>
    <xf borderId="8" fillId="0" fontId="9" numFmtId="10" xfId="0" applyAlignment="1" applyBorder="1" applyFont="1" applyNumberFormat="1">
      <alignment shrinkToFit="0" vertical="center" wrapText="0"/>
    </xf>
    <xf borderId="9" fillId="0" fontId="8" numFmtId="10" xfId="0" applyAlignment="1" applyBorder="1" applyFont="1" applyNumberFormat="1">
      <alignment shrinkToFit="0" vertical="center" wrapText="0"/>
    </xf>
    <xf borderId="0" fillId="0" fontId="8" numFmtId="10" xfId="0" applyAlignment="1" applyFont="1" applyNumberFormat="1">
      <alignment vertical="center"/>
    </xf>
    <xf borderId="10" fillId="0" fontId="2" numFmtId="0" xfId="0" applyAlignment="1" applyBorder="1" applyFont="1">
      <alignment shrinkToFit="0" vertical="center" wrapText="1"/>
    </xf>
    <xf borderId="11" fillId="0" fontId="3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horizontal="center" readingOrder="0" shrinkToFit="0" vertical="center" wrapText="0"/>
    </xf>
    <xf borderId="11" fillId="0" fontId="10" numFmtId="0" xfId="0" applyAlignment="1" applyBorder="1" applyFont="1">
      <alignment shrinkToFit="0" vertical="center" wrapText="1"/>
    </xf>
    <xf borderId="11" fillId="0" fontId="2" numFmtId="0" xfId="0" applyAlignment="1" applyBorder="1" applyFont="1">
      <alignment shrinkToFit="0" vertical="center" wrapText="0"/>
    </xf>
    <xf borderId="11" fillId="0" fontId="2" numFmtId="4" xfId="0" applyAlignment="1" applyBorder="1" applyFont="1" applyNumberFormat="1">
      <alignment shrinkToFit="0" vertical="center" wrapText="0"/>
    </xf>
    <xf borderId="11" fillId="0" fontId="2" numFmtId="0" xfId="0" applyAlignment="1" applyBorder="1" applyFont="1">
      <alignment shrinkToFit="0" vertical="center" wrapText="0"/>
    </xf>
    <xf borderId="11" fillId="0" fontId="2" numFmtId="164" xfId="0" applyAlignment="1" applyBorder="1" applyFont="1" applyNumberFormat="1">
      <alignment shrinkToFit="0" vertical="center" wrapText="0"/>
    </xf>
    <xf borderId="11" fillId="0" fontId="5" numFmtId="0" xfId="0" applyAlignment="1" applyBorder="1" applyFont="1">
      <alignment horizontal="center" shrinkToFit="0" vertical="center" wrapText="0"/>
    </xf>
    <xf borderId="11" fillId="0" fontId="6" numFmtId="0" xfId="0" applyAlignment="1" applyBorder="1" applyFont="1">
      <alignment shrinkToFit="0" vertical="center" wrapText="0"/>
    </xf>
    <xf borderId="11" fillId="0" fontId="11" numFmtId="0" xfId="0" applyAlignment="1" applyBorder="1" applyFont="1">
      <alignment shrinkToFit="0" vertical="center" wrapText="1"/>
    </xf>
    <xf borderId="11" fillId="0" fontId="2" numFmtId="10" xfId="0" applyAlignment="1" applyBorder="1" applyFont="1" applyNumberFormat="1">
      <alignment readingOrder="0" shrinkToFit="0" vertical="center" wrapText="0"/>
    </xf>
    <xf borderId="11" fillId="0" fontId="8" numFmtId="10" xfId="0" applyAlignment="1" applyBorder="1" applyFont="1" applyNumberFormat="1">
      <alignment shrinkToFit="0" vertical="center" wrapText="0"/>
    </xf>
    <xf borderId="11" fillId="0" fontId="9" numFmtId="10" xfId="0" applyAlignment="1" applyBorder="1" applyFont="1" applyNumberFormat="1">
      <alignment shrinkToFit="0" vertical="center" wrapText="0"/>
    </xf>
    <xf borderId="12" fillId="0" fontId="8" numFmtId="10" xfId="0" applyAlignment="1" applyBorder="1" applyFont="1" applyNumberFormat="1">
      <alignment shrinkToFit="0" vertical="center" wrapText="0"/>
    </xf>
    <xf borderId="8" fillId="0" fontId="2" numFmtId="0" xfId="0" applyAlignment="1" applyBorder="1" applyFont="1">
      <alignment horizontal="center" readingOrder="0" shrinkToFit="0" vertical="center" wrapText="0"/>
    </xf>
    <xf borderId="8" fillId="0" fontId="2" numFmtId="0" xfId="0" applyAlignment="1" applyBorder="1" applyFont="1">
      <alignment shrinkToFit="0" vertical="center" wrapText="0"/>
    </xf>
    <xf borderId="8" fillId="0" fontId="2" numFmtId="164" xfId="0" applyAlignment="1" applyBorder="1" applyFont="1" applyNumberFormat="1">
      <alignment shrinkToFit="0" vertical="center" wrapText="0"/>
    </xf>
    <xf borderId="8" fillId="0" fontId="6" numFmtId="0" xfId="0" applyAlignment="1" applyBorder="1" applyFont="1">
      <alignment shrinkToFit="0" vertical="center" wrapText="0"/>
    </xf>
    <xf borderId="0" fillId="0" fontId="2" numFmtId="10" xfId="0" applyAlignment="1" applyFont="1" applyNumberFormat="1">
      <alignment vertical="center"/>
    </xf>
    <xf borderId="11" fillId="0" fontId="6" numFmtId="0" xfId="0" applyAlignment="1" applyBorder="1" applyFont="1">
      <alignment shrinkToFit="0" vertical="center" wrapText="0"/>
    </xf>
    <xf borderId="0" fillId="0" fontId="12" numFmtId="10" xfId="0" applyAlignment="1" applyFont="1" applyNumberFormat="1">
      <alignment vertical="center"/>
    </xf>
    <xf borderId="8" fillId="0" fontId="2" numFmtId="10" xfId="0" applyAlignment="1" applyBorder="1" applyFont="1" applyNumberFormat="1">
      <alignment shrinkToFit="0" vertical="center" wrapText="0"/>
    </xf>
    <xf borderId="9" fillId="0" fontId="2" numFmtId="10" xfId="0" applyAlignment="1" applyBorder="1" applyFont="1" applyNumberFormat="1">
      <alignment shrinkToFit="0" vertical="center" wrapText="0"/>
    </xf>
    <xf borderId="11" fillId="0" fontId="2" numFmtId="10" xfId="0" applyAlignment="1" applyBorder="1" applyFont="1" applyNumberFormat="1">
      <alignment shrinkToFit="0" vertical="center" wrapText="0"/>
    </xf>
    <xf borderId="12" fillId="0" fontId="2" numFmtId="10" xfId="0" applyAlignment="1" applyBorder="1" applyFont="1" applyNumberFormat="1">
      <alignment shrinkToFit="0" vertical="center" wrapText="0"/>
    </xf>
    <xf borderId="13" fillId="0" fontId="2" numFmtId="0" xfId="0" applyAlignment="1" applyBorder="1" applyFont="1">
      <alignment shrinkToFit="0" vertical="center" wrapText="1"/>
    </xf>
    <xf borderId="14" fillId="0" fontId="3" numFmtId="0" xfId="0" applyAlignment="1" applyBorder="1" applyFont="1">
      <alignment readingOrder="0" shrinkToFit="0" vertical="center" wrapText="0"/>
    </xf>
    <xf borderId="14" fillId="0" fontId="2" numFmtId="0" xfId="0" applyAlignment="1" applyBorder="1" applyFont="1">
      <alignment horizontal="center" readingOrder="0" shrinkToFit="0" vertical="center" wrapText="0"/>
    </xf>
    <xf borderId="14" fillId="0" fontId="13" numFmtId="0" xfId="0" applyAlignment="1" applyBorder="1" applyFont="1">
      <alignment shrinkToFit="0" vertical="center" wrapText="1"/>
    </xf>
    <xf borderId="14" fillId="0" fontId="2" numFmtId="0" xfId="0" applyAlignment="1" applyBorder="1" applyFont="1">
      <alignment shrinkToFit="0" vertical="center" wrapText="0"/>
    </xf>
    <xf borderId="14" fillId="0" fontId="2" numFmtId="4" xfId="0" applyAlignment="1" applyBorder="1" applyFont="1" applyNumberFormat="1">
      <alignment shrinkToFit="0" vertical="center" wrapText="0"/>
    </xf>
    <xf borderId="14" fillId="0" fontId="2" numFmtId="0" xfId="0" applyAlignment="1" applyBorder="1" applyFont="1">
      <alignment shrinkToFit="0" vertical="center" wrapText="0"/>
    </xf>
    <xf borderId="14" fillId="0" fontId="2" numFmtId="164" xfId="0" applyAlignment="1" applyBorder="1" applyFont="1" applyNumberFormat="1">
      <alignment shrinkToFit="0" vertical="center" wrapText="0"/>
    </xf>
    <xf borderId="14" fillId="0" fontId="5" numFmtId="0" xfId="0" applyAlignment="1" applyBorder="1" applyFont="1">
      <alignment horizontal="center" shrinkToFit="0" vertical="center" wrapText="0"/>
    </xf>
    <xf borderId="14" fillId="0" fontId="6" numFmtId="0" xfId="0" applyAlignment="1" applyBorder="1" applyFont="1">
      <alignment shrinkToFit="0" vertical="center" wrapText="0"/>
    </xf>
    <xf borderId="14" fillId="0" fontId="14" numFmtId="0" xfId="0" applyAlignment="1" applyBorder="1" applyFont="1">
      <alignment shrinkToFit="0" vertical="center" wrapText="1"/>
    </xf>
    <xf borderId="14" fillId="0" fontId="2" numFmtId="10" xfId="0" applyAlignment="1" applyBorder="1" applyFont="1" applyNumberFormat="1">
      <alignment readingOrder="0" shrinkToFit="0" vertical="center" wrapText="0"/>
    </xf>
    <xf borderId="14" fillId="0" fontId="2" numFmtId="10" xfId="0" applyAlignment="1" applyBorder="1" applyFont="1" applyNumberFormat="1">
      <alignment shrinkToFit="0" vertical="center" wrapText="0"/>
    </xf>
    <xf borderId="14" fillId="0" fontId="9" numFmtId="10" xfId="0" applyAlignment="1" applyBorder="1" applyFont="1" applyNumberFormat="1">
      <alignment shrinkToFit="0" vertical="center" wrapText="0"/>
    </xf>
    <xf borderId="15" fillId="0" fontId="2" numFmtId="10" xfId="0" applyAlignment="1" applyBorder="1" applyFont="1" applyNumberFormat="1">
      <alignment shrinkToFit="0" vertical="center" wrapText="0"/>
    </xf>
    <xf borderId="0" fillId="0" fontId="12" numFmtId="165" xfId="0" applyAlignment="1" applyFont="1" applyNumberFormat="1">
      <alignment vertical="center"/>
    </xf>
    <xf borderId="0" fillId="0" fontId="12" numFmtId="0" xfId="0" applyAlignment="1" applyFont="1">
      <alignment shrinkToFit="0" wrapText="1"/>
    </xf>
    <xf borderId="0" fillId="0" fontId="12" numFmtId="0" xfId="0" applyAlignment="1" applyFont="1">
      <alignment readingOrder="0" shrinkToFit="0" wrapText="1"/>
    </xf>
    <xf borderId="0" fillId="0" fontId="15" numFmtId="0" xfId="0" applyAlignment="1" applyFont="1">
      <alignment horizontal="right" readingOrder="0" vertical="center"/>
    </xf>
    <xf borderId="0" fillId="0" fontId="6" numFmtId="0" xfId="0" applyFont="1"/>
    <xf borderId="0" fillId="0" fontId="16" numFmtId="0" xfId="0" applyAlignment="1" applyFont="1">
      <alignment horizontal="left" readingOrder="0" shrinkToFit="0" vertical="center" wrapText="1"/>
    </xf>
    <xf borderId="0" fillId="0" fontId="17" numFmtId="0" xfId="0" applyAlignment="1" applyFont="1">
      <alignment readingOrder="0" shrinkToFit="0" wrapText="1"/>
    </xf>
    <xf borderId="0" fillId="0" fontId="6" numFmtId="0" xfId="0" applyAlignment="1" applyFont="1">
      <alignment readingOrder="0"/>
    </xf>
    <xf borderId="0" fillId="0" fontId="12" numFmtId="0" xfId="0" applyFont="1"/>
    <xf borderId="0" fillId="6" fontId="12" numFmtId="0" xfId="0" applyFill="1" applyFont="1"/>
    <xf borderId="0" fillId="6" fontId="6" numFmtId="0" xfId="0" applyFont="1"/>
    <xf borderId="0" fillId="0" fontId="12" numFmtId="0" xfId="0" applyAlignment="1" applyFont="1">
      <alignment readingOrder="0"/>
    </xf>
    <xf borderId="0" fillId="0" fontId="18" numFmtId="0" xfId="0" applyAlignment="1" applyFont="1">
      <alignment readingOrder="0" shrinkToFit="0" vertical="center" wrapText="1"/>
    </xf>
    <xf borderId="0" fillId="0" fontId="18" numFmtId="0" xfId="0" applyAlignment="1" applyFont="1">
      <alignment shrinkToFit="0" vertical="center" wrapText="1"/>
    </xf>
    <xf borderId="0" fillId="0" fontId="18" numFmtId="0" xfId="0" applyAlignment="1" applyFont="1">
      <alignment shrinkToFit="0" vertical="center" wrapText="1"/>
    </xf>
    <xf borderId="0" fillId="0" fontId="19" numFmtId="164" xfId="0" applyAlignment="1" applyFont="1" applyNumberFormat="1">
      <alignment shrinkToFit="0" vertical="center" wrapText="1"/>
    </xf>
    <xf borderId="0" fillId="0" fontId="20" numFmtId="0" xfId="0" applyAlignment="1" applyFont="1">
      <alignment shrinkToFit="0" vertical="center" wrapText="1"/>
    </xf>
    <xf borderId="0" fillId="0" fontId="21" numFmtId="0" xfId="0" applyAlignment="1" applyFont="1">
      <alignment horizontal="left" readingOrder="0" shrinkToFit="0" wrapText="1"/>
    </xf>
    <xf borderId="0" fillId="0" fontId="21" numFmtId="0" xfId="0" applyAlignment="1" applyFont="1">
      <alignment horizontal="center" shrinkToFit="0" vertical="center" wrapText="1"/>
    </xf>
    <xf borderId="0" fillId="0" fontId="18" numFmtId="0" xfId="0" applyFont="1"/>
    <xf borderId="0" fillId="0" fontId="22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horizontal="left" readingOrder="0" shrinkToFit="0" wrapText="1"/>
    </xf>
    <xf borderId="0" fillId="0" fontId="9" numFmtId="0" xfId="0" applyAlignment="1" applyFont="1">
      <alignment horizontal="center" readingOrder="0" shrinkToFit="0" vertical="center" wrapText="1"/>
    </xf>
    <xf borderId="0" fillId="7" fontId="22" numFmtId="0" xfId="0" applyAlignment="1" applyFill="1" applyFont="1">
      <alignment horizontal="center" readingOrder="0" shrinkToFit="0" vertical="center" wrapText="1"/>
    </xf>
    <xf borderId="0" fillId="8" fontId="23" numFmtId="0" xfId="0" applyAlignment="1" applyFill="1" applyFont="1">
      <alignment horizontal="center" shrinkToFit="0" vertical="center" wrapText="1"/>
    </xf>
    <xf borderId="0" fillId="7" fontId="22" numFmtId="0" xfId="0" applyAlignment="1" applyFont="1">
      <alignment horizontal="center" shrinkToFit="0" vertical="center" wrapText="1"/>
    </xf>
    <xf borderId="16" fillId="0" fontId="8" numFmtId="0" xfId="0" applyAlignment="1" applyBorder="1" applyFont="1">
      <alignment horizontal="center" readingOrder="0" shrinkToFit="0" vertical="center" wrapText="1"/>
    </xf>
    <xf borderId="0" fillId="0" fontId="24" numFmtId="0" xfId="0" applyAlignment="1" applyFont="1">
      <alignment vertical="center"/>
    </xf>
    <xf borderId="0" fillId="0" fontId="18" numFmtId="0" xfId="0" applyAlignment="1" applyFont="1">
      <alignment vertical="center"/>
    </xf>
    <xf borderId="0" fillId="0" fontId="9" numFmtId="0" xfId="0" applyAlignment="1" applyFont="1">
      <alignment readingOrder="0" shrinkToFit="0" wrapText="1"/>
    </xf>
    <xf borderId="17" fillId="0" fontId="25" numFmtId="0" xfId="0" applyAlignment="1" applyBorder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7" fillId="0" fontId="25" numFmtId="49" xfId="0" applyAlignment="1" applyBorder="1" applyFont="1" applyNumberFormat="1">
      <alignment horizontal="center" readingOrder="0" shrinkToFit="0" vertical="center" wrapText="1"/>
    </xf>
    <xf borderId="0" fillId="0" fontId="18" numFmtId="0" xfId="0" applyAlignment="1" applyFont="1">
      <alignment readingOrder="0"/>
    </xf>
    <xf borderId="18" fillId="0" fontId="18" numFmtId="0" xfId="0" applyAlignment="1" applyBorder="1" applyFont="1">
      <alignment readingOrder="0" shrinkToFit="0" vertical="center" wrapText="1"/>
    </xf>
    <xf borderId="19" fillId="0" fontId="18" numFmtId="49" xfId="0" applyAlignment="1" applyBorder="1" applyFont="1" applyNumberFormat="1">
      <alignment shrinkToFit="0" vertical="center" wrapText="1"/>
    </xf>
    <xf borderId="19" fillId="0" fontId="18" numFmtId="0" xfId="0" applyAlignment="1" applyBorder="1" applyFont="1">
      <alignment shrinkToFit="0" vertical="center" wrapText="1"/>
    </xf>
    <xf borderId="19" fillId="0" fontId="19" numFmtId="164" xfId="0" applyAlignment="1" applyBorder="1" applyFont="1" applyNumberFormat="1">
      <alignment shrinkToFit="0" vertical="center" wrapText="1"/>
    </xf>
    <xf borderId="19" fillId="0" fontId="26" numFmtId="0" xfId="0" applyAlignment="1" applyBorder="1" applyFont="1">
      <alignment shrinkToFit="0" vertical="center" wrapText="1"/>
    </xf>
    <xf borderId="20" fillId="0" fontId="18" numFmtId="0" xfId="0" applyAlignment="1" applyBorder="1" applyFont="1">
      <alignment shrinkToFit="0" vertical="center" wrapText="0"/>
    </xf>
    <xf borderId="0" fillId="0" fontId="19" numFmtId="164" xfId="0" applyAlignment="1" applyFont="1" applyNumberFormat="1">
      <alignment horizontal="right"/>
    </xf>
    <xf borderId="19" fillId="0" fontId="18" numFmtId="49" xfId="0" applyAlignment="1" applyBorder="1" applyFont="1" applyNumberFormat="1">
      <alignment shrinkToFit="0" vertical="center" wrapText="0"/>
    </xf>
    <xf borderId="19" fillId="0" fontId="18" numFmtId="0" xfId="0" applyAlignment="1" applyBorder="1" applyFont="1">
      <alignment shrinkToFit="0" vertical="center" wrapText="0"/>
    </xf>
    <xf borderId="19" fillId="0" fontId="19" numFmtId="164" xfId="0" applyAlignment="1" applyBorder="1" applyFont="1" applyNumberFormat="1">
      <alignment shrinkToFit="0" vertical="center" wrapText="0"/>
    </xf>
    <xf borderId="19" fillId="0" fontId="26" numFmtId="0" xfId="0" applyAlignment="1" applyBorder="1" applyFont="1">
      <alignment shrinkToFit="0" vertical="center" wrapText="1"/>
    </xf>
    <xf borderId="0" fillId="0" fontId="18" numFmtId="0" xfId="0" applyAlignment="1" applyFont="1">
      <alignment vertical="bottom"/>
    </xf>
    <xf borderId="0" fillId="0" fontId="27" numFmtId="0" xfId="0" applyAlignment="1" applyFont="1">
      <alignment readingOrder="0"/>
    </xf>
    <xf borderId="0" fillId="0" fontId="18" numFmtId="0" xfId="0" applyAlignment="1" applyFont="1">
      <alignment readingOrder="0" vertical="bottom"/>
    </xf>
    <xf borderId="0" fillId="0" fontId="18" numFmtId="0" xfId="0" applyAlignment="1" applyFont="1">
      <alignment readingOrder="0"/>
    </xf>
    <xf borderId="18" fillId="0" fontId="18" numFmtId="0" xfId="0" applyAlignment="1" applyBorder="1" applyFont="1">
      <alignment shrinkToFit="0" vertical="center" wrapText="1"/>
    </xf>
    <xf borderId="19" fillId="0" fontId="28" numFmtId="0" xfId="0" applyAlignment="1" applyBorder="1" applyFont="1">
      <alignment readingOrder="0" shrinkToFit="0" vertical="center" wrapText="1"/>
    </xf>
    <xf borderId="19" fillId="9" fontId="18" numFmtId="0" xfId="0" applyAlignment="1" applyBorder="1" applyFill="1" applyFont="1">
      <alignment readingOrder="0" shrinkToFit="0" vertical="center" wrapText="0"/>
    </xf>
    <xf borderId="19" fillId="9" fontId="18" numFmtId="49" xfId="0" applyAlignment="1" applyBorder="1" applyFont="1" applyNumberFormat="1">
      <alignment shrinkToFit="0" vertical="center" wrapText="0"/>
    </xf>
    <xf borderId="19" fillId="0" fontId="18" numFmtId="49" xfId="0" applyAlignment="1" applyBorder="1" applyFont="1" applyNumberFormat="1">
      <alignment shrinkToFit="0" vertical="center" wrapText="0"/>
    </xf>
    <xf borderId="19" fillId="0" fontId="18" numFmtId="0" xfId="0" applyAlignment="1" applyBorder="1" applyFont="1">
      <alignment shrinkToFit="0" vertical="center" wrapText="0"/>
    </xf>
    <xf borderId="19" fillId="0" fontId="19" numFmtId="164" xfId="0" applyAlignment="1" applyBorder="1" applyFont="1" applyNumberFormat="1">
      <alignment shrinkToFit="0" vertical="center" wrapText="0"/>
    </xf>
    <xf borderId="20" fillId="0" fontId="18" numFmtId="0" xfId="0" applyAlignment="1" applyBorder="1" applyFont="1">
      <alignment shrinkToFit="0" vertical="center" wrapText="0"/>
    </xf>
    <xf borderId="21" fillId="0" fontId="18" numFmtId="0" xfId="0" applyAlignment="1" applyBorder="1" applyFont="1">
      <alignment readingOrder="0" shrinkToFit="0" vertical="center" wrapText="1"/>
    </xf>
    <xf borderId="22" fillId="0" fontId="18" numFmtId="49" xfId="0" applyAlignment="1" applyBorder="1" applyFont="1" applyNumberFormat="1">
      <alignment shrinkToFit="0" vertical="center" wrapText="0"/>
    </xf>
    <xf borderId="22" fillId="0" fontId="18" numFmtId="0" xfId="0" applyAlignment="1" applyBorder="1" applyFont="1">
      <alignment shrinkToFit="0" vertical="center" wrapText="0"/>
    </xf>
    <xf borderId="22" fillId="0" fontId="19" numFmtId="164" xfId="0" applyAlignment="1" applyBorder="1" applyFont="1" applyNumberFormat="1">
      <alignment shrinkToFit="0" vertical="center" wrapText="0"/>
    </xf>
    <xf borderId="22" fillId="0" fontId="26" numFmtId="0" xfId="0" applyAlignment="1" applyBorder="1" applyFont="1">
      <alignment shrinkToFit="0" vertical="center" wrapText="1"/>
    </xf>
    <xf borderId="23" fillId="0" fontId="18" numFmtId="0" xfId="0" applyAlignment="1" applyBorder="1" applyFont="1">
      <alignment shrinkToFit="0" vertical="center" wrapText="0"/>
    </xf>
    <xf borderId="0" fillId="0" fontId="19" numFmtId="0" xfId="0" applyAlignment="1" applyFont="1">
      <alignment horizontal="right"/>
    </xf>
    <xf borderId="0" fillId="0" fontId="18" numFmtId="49" xfId="0" applyFont="1" applyNumberFormat="1"/>
    <xf borderId="0" fillId="0" fontId="18" numFmtId="0" xfId="0" applyAlignment="1" applyFont="1">
      <alignment readingOrder="0" shrinkToFit="0" wrapText="1"/>
    </xf>
    <xf borderId="0" fillId="0" fontId="18" numFmtId="10" xfId="0" applyFont="1" applyNumberFormat="1"/>
  </cellXfs>
  <cellStyles count="1">
    <cellStyle xfId="0" name="Normal" builtinId="0"/>
  </cellStyles>
  <dxfs count="7"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C779B"/>
          <bgColor rgb="FF5C779B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  <tableStyles count="4">
    <tableStyle count="3" pivot="0" name="Свод-style">
      <tableStyleElement dxfId="2" type="headerRow"/>
      <tableStyleElement dxfId="3" type="firstRowStripe"/>
      <tableStyleElement dxfId="4" type="secondRowStripe"/>
    </tableStyle>
    <tableStyle count="2" pivot="0" name="Справочник-style">
      <tableStyleElement dxfId="3" type="firstRowStripe"/>
      <tableStyleElement dxfId="3" type="secondRowStripe"/>
    </tableStyle>
    <tableStyle count="2" pivot="0" name="Справочник-style 2">
      <tableStyleElement dxfId="3" type="firstRowStripe"/>
      <tableStyleElement dxfId="3" type="secondRowStripe"/>
    </tableStyle>
    <tableStyle count="3" pivot="0" name="Справочник-style 3">
      <tableStyleElement dxfId="6" type="headerRow"/>
      <tableStyleElement dxfId="3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209550</xdr:colOff>
      <xdr:row>1</xdr:row>
      <xdr:rowOff>152400</xdr:rowOff>
    </xdr:from>
    <xdr:ext cx="1524000" cy="447675"/>
    <xdr:sp>
      <xdr:nvSpPr>
        <xdr:cNvPr id="3" name="Shape 3"/>
        <xdr:cNvSpPr/>
      </xdr:nvSpPr>
      <xdr:spPr>
        <a:xfrm>
          <a:off x="2291625" y="740525"/>
          <a:ext cx="1893600" cy="540000"/>
        </a:xfrm>
        <a:prstGeom prst="round2DiagRect">
          <a:avLst>
            <a:gd fmla="val 16667" name="adj1"/>
            <a:gd fmla="val 0" name="adj2"/>
          </a:avLst>
        </a:prstGeom>
        <a:solidFill>
          <a:srgbClr val="CFE2F3"/>
        </a:solidFill>
        <a:ln cap="flat" cmpd="sng" w="38100">
          <a:solidFill>
            <a:srgbClr val="1C4587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latin typeface="Comfortaa"/>
              <a:ea typeface="Comfortaa"/>
              <a:cs typeface="Comfortaa"/>
              <a:sym typeface="Comfortaa"/>
            </a:rPr>
            <a:t>обновить таблицу сейчас</a:t>
          </a:r>
          <a:endParaRPr b="1" sz="1400">
            <a:latin typeface="Comfortaa"/>
            <a:ea typeface="Comfortaa"/>
            <a:cs typeface="Comfortaa"/>
            <a:sym typeface="Comfortaa"/>
          </a:endParaRPr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38100</xdr:colOff>
      <xdr:row>4</xdr:row>
      <xdr:rowOff>28575</xdr:rowOff>
    </xdr:from>
    <xdr:ext cx="1485900" cy="571500"/>
    <xdr:grpSp>
      <xdr:nvGrpSpPr>
        <xdr:cNvPr id="2" name="Shape 2" title="Рисунок"/>
        <xdr:cNvGrpSpPr/>
      </xdr:nvGrpSpPr>
      <xdr:grpSpPr>
        <a:xfrm>
          <a:off x="1611150" y="252100"/>
          <a:ext cx="1463675" cy="554100"/>
          <a:chOff x="1611150" y="252100"/>
          <a:chExt cx="1463675" cy="554100"/>
        </a:xfrm>
      </xdr:grpSpPr>
      <xdr:sp>
        <xdr:nvSpPr>
          <xdr:cNvPr id="4" name="Shape 4"/>
          <xdr:cNvSpPr/>
        </xdr:nvSpPr>
        <xdr:spPr>
          <a:xfrm>
            <a:off x="1611150" y="400300"/>
            <a:ext cx="1221000" cy="303300"/>
          </a:xfrm>
          <a:prstGeom prst="round2DiagRect">
            <a:avLst>
              <a:gd fmla="val 16667" name="adj1"/>
              <a:gd fmla="val 0" name="adj2"/>
            </a:avLst>
          </a:prstGeom>
          <a:solidFill>
            <a:srgbClr val="EA9999"/>
          </a:solidFill>
          <a:ln cap="flat" cmpd="sng" w="9525">
            <a:solidFill>
              <a:srgbClr val="99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200">
                <a:solidFill>
                  <a:srgbClr val="FFFFFF"/>
                </a:solidFill>
                <a:latin typeface="Comfortaa"/>
                <a:ea typeface="Comfortaa"/>
                <a:cs typeface="Comfortaa"/>
                <a:sym typeface="Comfortaa"/>
              </a:rPr>
              <a:t>клик</a:t>
            </a:r>
            <a:endParaRPr b="1" sz="1200">
              <a:solidFill>
                <a:srgbClr val="FFFFFF"/>
              </a:solidFill>
              <a:latin typeface="Comfortaa"/>
              <a:ea typeface="Comfortaa"/>
              <a:cs typeface="Comfortaa"/>
              <a:sym typeface="Comfortaa"/>
            </a:endParaRPr>
          </a:p>
        </xdr:txBody>
      </xdr:sp>
      <xdr:pic>
        <xdr:nvPicPr>
          <xdr:cNvPr id="5" name="Shape 5" title="Нажмите кнопку знак | Векторы общественного достояния"/>
          <xdr:cNvPicPr preferRelativeResize="0"/>
        </xdr:nvPicPr>
        <xdr:blipFill>
          <a:blip r:embed="rId1">
            <a:alphaModFix/>
          </a:blip>
          <a:stretch>
            <a:fillRect/>
          </a:stretch>
        </xdr:blipFill>
        <xdr:spPr>
          <a:xfrm rot="10800000">
            <a:off x="2382200" y="252100"/>
            <a:ext cx="692625" cy="5541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85725</xdr:colOff>
      <xdr:row>3</xdr:row>
      <xdr:rowOff>133350</xdr:rowOff>
    </xdr:from>
    <xdr:ext cx="3190875" cy="5734050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9:H189" sheet="Справочник"/>
  </cacheSource>
  <cacheFields>
    <cacheField name="Фьючерсный контракт" numFmtId="0">
      <sharedItems>
        <s v="Фьючерсный контракт на цинк"/>
        <s v="Однодневный фьючерсный контракт с автопролонгацией на золото"/>
        <s v="Однодневный фьючерсный контракт с автопролонгацией на Индекс МосБиржи"/>
        <s v="Однодневный фьючерсный контракт с автопролонгацией на курс доллар США - &#10;российский рубль"/>
        <s v="Однодневный фьючерсный контракт с автопролонгацией на курс евро - &#10;российский рубль"/>
        <s v="Однодневный фьючерсный контракт с автопролонгацией на курс китайский юань &#10;- российский рубль"/>
        <s v="Однодневный фьючерсный контракт с автопролонгацией на обыкновенные акции &#10;ПАО «Газпром»"/>
        <s v="Однодневный фьючерсный контракт с автопролонгацией на обыкновенные акции &#10;ПАО Сбербанк"/>
        <s v="Расчетный фьючерсный контракт на золото"/>
        <s v="Расчетный фьючерсный контракт на сахар"/>
        <s v="Фьючерский контракт на обыкновенные акции ПАО «Газпром нефть»"/>
        <s v="Фьючерсный контракт на акции инвестиционного фонда iShares MSCI Emerging &#10;Markets ETF"/>
        <s v="Фьючерсный контракт на акции инвестиционного фонда MSCI India UCITS ETF"/>
        <s v="Фьючерсный контракт на акции инвестиционного фонда Nikkei 225 ETF"/>
        <s v="Фьючерсный контракт на акции инвестиционного фонда Russell 2000 ETF"/>
        <s v="Фьючерсный контракт на акции инвестиционного фонда Tracker Fund of Hong &#10;Kong ETF"/>
        <s v="Фьючерсный контракт на акции инвестиционного фонда Евро Стокс 50 ETF"/>
        <s v="Фьючерсный контракт на алюминий"/>
        <s v="Фьючерсный контракт на золото"/>
        <s v="Фьючерсный контракт на инвестиционные паи DJ Industrial Average ETF Trust"/>
        <s v="Фьючерсный контракт на инвестиционные паи QQQ ETF Trust"/>
        <s v="Фьючерсный контракт на инвестиционные паи SPY ETF Trust"/>
        <s v="Фьючерсный контракт на инвестиционные паи Дакс ETF"/>
        <s v="Фьючерсный контракт на Индекс RGBI"/>
        <s v="Фьючерсный контракт на Индекс МосБиржи"/>
        <s v="Фьючерсный контракт на Индекс МосБиржи в юанях"/>
        <s v="Фьючерсный контракт на Индекс московской недвижимости Домклик"/>
        <s v="Фьючерсный контракт на Индекс РТС"/>
        <s v="Фьючерсный контракт на курс армянский драм – российский рубль"/>
        <s v="Фьючерсный контракт на курс Гонконгский доллар - российский рубль"/>
        <s v="Фьючерсный контракт на курс дирхам ОАЭ – российский рубль"/>
        <s v="Фьючерсный контракт на курс доллар США - российский рубль"/>
        <s v="Фьючерсный контракт на курс доллар США – китайский юань"/>
        <s v="Фьючерсный контракт на курс доллар США-швейцарский франк"/>
        <s v="Фьючерсный контракт на курс евро-доллар США"/>
        <s v="Фьючерсный контракт на курс евро-российский рубль"/>
        <s v="Фьючерсный контракт на курс индийская рупия – российский рубль"/>
        <s v="Фьючерсный контракт на курс казахстанский тенге – российский рубль"/>
        <s v="Фьючерсный контракт на курс китайский юань – российский рубль"/>
        <s v="Фьючерсный контракт на курс турецкая лира – российский рубль"/>
        <s v="Фьючерсный контракт на медь"/>
        <s v="Фьючерсный контракт на нефть Брэнт"/>
        <s v="Фьючерсный контракт на обыкновенные акции АК &quot;АЛРОСА&quot;"/>
        <s v="Фьючерсный контракт на обыкновенные акции Банк ВТБ"/>
        <s v="Фьючерсный контракт на обыкновенные акции МКПАО &quot;ЯНДЕКС&quot;"/>
        <s v="Фьючерсный контракт на обыкновенные акции МКПАО «ВК»"/>
        <s v="Фьючерсный контракт на обыкновенные акции МКПАО «ОК «РУСАЛ»"/>
        <s v="Фьючерсный контракт на обыкновенные акции ПАО &quot;Аэрофлот&quot;"/>
        <s v="Фьючерсный контракт на обыкновенные акции ПАО &quot;ВУШ Холдинг&quot;"/>
        <s v="Фьючерсный контракт на обыкновенные акции ПАО &quot;Группа Позитив&quot;"/>
        <s v="Фьючерсный контракт на обыкновенные акции ПАО &quot;ДВМП&quot;"/>
        <s v="Фьючерсный контракт на обыкновенные акции ПАО &quot;КАМАЗ&quot;"/>
        <s v="Фьючерсный контракт на обыкновенные акции ПАО &quot;ЛК &quot;Европлан&quot;"/>
        <s v="Фьючерсный контракт на обыкновенные акции ПАО &quot;МОСКОВСКИЙ КРЕДИТНЫЙ БАНК&quot;"/>
        <s v="Фьючерсный контракт на обыкновенные акции ПАО &quot;НоваБев Групп&quot;"/>
        <s v="Фьючерсный контракт на обыкновенные акции ПАО &quot;Распадская&quot;"/>
        <s v="Фьючерсный контракт на обыкновенные акции ПАО “Сегежа Групп”"/>
        <s v="Фьючерсный контракт на обыкновенные акции ПАО &quot;Совкомбанк&quot;"/>
        <s v="Фьючерсный контракт на обыкновенные акции ПАО “Совкомфлот”"/>
        <s v="Фьючерсный контракт на обыкновенные акции ПАО &quot;Софтлайн&quot;"/>
        <s v="Фьючерсный контракт на обыкновенные акции ПАО &quot;СПБ Биржа&quot;"/>
        <s v="Фьючерсный контракт на обыкновенные акции ПАО &quot;ФосАгро&quot;"/>
        <s v="Фьючерсный контракт на обыкновенные акции ПАО &quot;ЭсЭфАй&quot;"/>
        <s v="Фьючерсный контракт на обыкновенные акции ПАО «Акционерная финансовая &#10;корпорация «Система»"/>
        <s v="Фьючерсный контракт на обыкновенные акции ПАО «Банк «Санкт-Петербург»"/>
        <s v="Фьючерсный контракт на обыкновенные акции ПАО «Газпром»"/>
        <s v="Фьючерсный контракт на обыкновенные акции ПАО «ГМК «Норильский никель»"/>
        <s v="Фьючерсный контракт на обыкновенные акции ПАО «Группа компаний «Самолет»"/>
        <s v="Фьючерсный контракт на обыкновенные акции ПАО «Интер РАО ЕЭС»"/>
        <s v="Фьючерсный контракт на обыкновенные акции ПАО «Корпоративный центр ИКС 5»"/>
        <s v="Фьючерсный контракт на обыкновенные акции ПАО «Магнит»"/>
        <s v="Фьючерсный контракт на обыкновенные акции ПАО «Мечел»"/>
        <s v="Фьючерсный контракт на обыкновенные акции ПАО «МТС»"/>
        <s v="Фьючерсный контракт на обыкновенные акции ПАО «НК «ЛУКОЙЛ»"/>
        <s v="Фьючерсный контракт на обыкновенные акции ПАО «НК «Роснефть»"/>
        <s v="Фьючерсный контракт на обыкновенные акции ПАО «НЛМК»"/>
        <s v="Фьючерсный контракт на обыкновенные акции ПАО «НОВАТЭК»"/>
        <s v="Фьючерсный контракт на обыкновенные акции ПАО «ПИК СЗ»"/>
        <s v="Фьючерсный контракт на обыкновенные акции ПАО «Ростелеком»"/>
        <s v="Фьючерсный контракт на обыкновенные акции ПАО «РусГидро»"/>
        <s v="Фьючерсный контракт на обыкновенные акции ПАО «Сургутнефтегаз»"/>
        <s v="Фьючерсный контракт на обыкновенные акции ПАО «Татнефть» им. В.Д. Шашина"/>
        <s v="Фьючерсный контракт на обыкновенные акции ПАО «Федеральная сетевая &#10;компания-Россети»"/>
        <s v="Фьючерсный контракт на обыкновенные акции ПАО АНК &quot;Башнефть&quot;"/>
        <s v="Фьючерсный контракт на обыкновенные акции ПАО Группа Астра"/>
        <s v="Фьючерсный контракт на обыкновенные акции ПАО Московская Биржа"/>
        <s v="Фьючерсный контракт на обыкновенные акции ПАО НК &quot;РуссНефть&quot;"/>
        <s v="Фьючерсный контракт на палладий"/>
        <s v="Фьючерсный контракт на платину"/>
        <s v="Фьючерсный контракт на привилегированные акции ПАО «Сургутнефтегаз»"/>
        <s v="Фьючерсный контракт на привилегированные акции ПАО «Татнефть» им. В.Д. &#10;Шашина"/>
        <s v="Фьючерсный контракт на привилегированные акции ПАО Сбербанк"/>
        <s v="Фьючерсный контракт на природный газ Генри Хаб"/>
        <s v="Фьючерсный контракт на пшеницу"/>
        <s v="Фьючерсный контракт на серебро"/>
        <s v="Фьючерсный контракт на ставку RUSFAR"/>
        <s v="фьючерсный контракт на ставку однодневных кредитов RUONIA"/>
        <s v="Фьючерсный контракт на привилегированные акции ПАО «Транснефть»"/>
        <s v="Фьючерсный контракт на обыкновенные акции МКПАО &quot;Т-Технологии"/>
        <s v="Фьючерсный контракт на обыкновенные акции ПАО Сбербанк"/>
        <s v="Фьючерсный контракт на никель"/>
        <s v="Фьючерсный контракт на Индекс МосБиржи (мини)"/>
        <s v="Фьючерсный контракт на обыкновенные акции ПАО «Магнитогорский металлургический комбинат»"/>
        <s v="Фьючерсный контракт на обыкновенные акции ПАО «Северсталь»"/>
      </sharedItems>
    </cacheField>
    <cacheField name="Фьючерсы на акции" numFmtId="0">
      <sharedItems>
        <s v="ZINC-12.25"/>
        <s v="GLDRUBF"/>
        <s v="IMOEXF"/>
        <s v="USDRUBF"/>
        <s v="EURRUBF"/>
        <s v="CNYRUBF"/>
        <s v="GAZPF"/>
        <s v="SBERF"/>
        <s v="GL-3.26"/>
        <s v="GL-12.25"/>
        <s v="SUGAR-10.25"/>
        <s v="SIBN-12.25"/>
        <s v="EM-12.25"/>
        <s v="INDIA-12.25"/>
        <s v="INDIA-3.26"/>
        <s v="NIKK-12.25"/>
        <s v="R2000-12.25"/>
        <s v="HANG-12.25"/>
        <s v="STOX-12.25"/>
        <s v="ALUM-12.25"/>
        <s v="GOLD-3.26"/>
        <s v="GOLD-12.25"/>
        <s v="DJ30-12.25"/>
        <s v="NASD-12.25"/>
        <s v="SPYF-12.25"/>
        <s v="DAX-12.25"/>
        <s v="RGBI-12.25"/>
        <s v="MXI-3.26"/>
        <s v="MIX-3.26"/>
        <s v="MIX-12.25"/>
        <s v="MXI-9.26"/>
        <s v="MXI-6.27"/>
        <s v="MXI-6.26"/>
        <s v="MXI-3.27"/>
        <s v="MXI-12.27"/>
        <s v="MXI-12.26"/>
        <s v="MOEXCNY-3.26"/>
        <s v="HOME-3.26"/>
        <s v="HOME-12.25"/>
        <s v="RTSM-3.26"/>
        <s v="RTS-6.26"/>
        <s v="RTS-12.26"/>
        <s v="RTS-12.25"/>
        <s v="RTSM-12.25"/>
        <s v="RTS-9.26"/>
        <s v="RTS-3.27"/>
        <s v="RTS-3.26"/>
        <s v="AMD-3.26"/>
        <s v="AMD-12.25"/>
        <s v="HKD-3.26"/>
        <s v="HKD-12.25"/>
        <s v="AED-12.25"/>
        <s v="AED-3.26"/>
        <s v="Si-9.26"/>
        <s v="Si-6.26"/>
        <s v="Si-12.26"/>
        <s v="Si-12.25"/>
        <s v="Si-3.27"/>
        <s v="Si-3.26"/>
        <s v="UCNY-12.25"/>
        <s v="UCHF-12.25"/>
        <s v="UCHF-3.26"/>
        <s v="ED-12.25"/>
        <s v="Eu-9.26"/>
        <s v="Eu-6.26"/>
        <s v="Eu-3.26"/>
        <s v="Eu-12.25"/>
        <s v="INR-3.26"/>
        <s v="INR-12.25"/>
        <s v="KZT-12.25"/>
        <s v="KZT-3.26"/>
        <s v="CNY-6.26"/>
        <s v="CNY-12.25"/>
        <s v="CNY-9.26"/>
        <s v="CNY-3.26"/>
        <s v="TRY-12.25"/>
        <s v="TRY-3.26"/>
        <s v="COPPER-12.25"/>
        <s v="BRM-11.25"/>
        <s v="BR-3.26"/>
        <s v="BR-2.26"/>
        <s v="BR-1.26"/>
        <s v="BR-4.26"/>
        <s v="BR-12.25"/>
        <s v="ALRS-12.25"/>
        <s v="VTBR-12.25"/>
        <s v="YDEX-9.25"/>
        <s v="YDEX-6.25"/>
        <s v="VKCO-12.25"/>
        <s v="RUAL-12.25"/>
        <s v="AFLT-12.25"/>
        <s v="WUSH-12.25"/>
        <s v="WUSH-6.25"/>
        <s v="POSI-12.25"/>
        <s v="FESH-12.25"/>
        <s v="KMAZ-12.25"/>
        <s v="LEAS-12.25"/>
        <s v="CBOM-12.25"/>
        <s v="BELUGA-12.25"/>
        <s v="RASP-12.25"/>
        <s v="SGZH-12.25"/>
        <s v="SVCB-12.25"/>
        <s v="FLOT-12.25"/>
        <s v="SOFL-12.25"/>
        <s v="SPBE-12.25"/>
        <s v="PHOR-12.25"/>
        <s v="SFIN-12.25"/>
        <s v="AFKS-12.25"/>
        <s v="BSPB-12.25"/>
        <s v="GAZR-6.26"/>
        <s v="GAZR-12.25"/>
        <s v="GMKN-12.25"/>
        <s v="SMLT-12.25"/>
        <s v="IRAO-12.25"/>
        <s v="X5-12.25"/>
        <s v="MGNT-12.25"/>
        <s v="MTLR-12.25"/>
        <s v="MTSI-12.25"/>
        <s v="LKOH-12.25"/>
        <s v="ROSN-6.26"/>
        <s v="ROSN-3.26"/>
        <s v="ROSN-12.25"/>
        <s v="NLMK-12.25"/>
        <s v="NOTK-12.25"/>
        <s v="PIKK-12.25"/>
        <s v="RTKM-12.25"/>
        <s v="HYDR-12.25"/>
        <s v="SNGR-12.25"/>
        <s v="TATN-12.25"/>
        <s v="FEES-12.25"/>
        <s v="BANE-3.26"/>
        <s v="BANE-12.25"/>
        <s v="ASTR-12.25"/>
        <s v="MOEX-12.25"/>
        <s v="RNFT-12.25"/>
        <s v="PLD-12.25"/>
        <s v="PLT-12.25"/>
        <s v="SNGP-12.25"/>
        <s v="TATP-12.25"/>
        <s v="SBPR-12.25"/>
        <s v="NGM-10.25"/>
        <s v="NG-10.25"/>
        <s v="WHEAT-2.26"/>
        <s v="WHEAT-4.26"/>
        <s v="WHEAT-3.26"/>
        <s v="WHEAT-12.25"/>
        <s v="WHEAT-11.25"/>
        <s v="WHEAT-10.25"/>
        <s v="WHEAT-1.26"/>
        <s v="SILV-3.26"/>
        <s v="SILV-12.25"/>
        <s v="1MFR-5.26"/>
        <s v="1MFR-3.26"/>
        <s v="1MFR-12.25"/>
        <s v="1MFR-4.26"/>
        <s v="1MFR-11.25"/>
        <s v="1MFR-2.26"/>
        <s v="1MFR-10.25"/>
        <s v="1MFR-1.26"/>
        <s v="RUON-5.26"/>
        <s v="RUON-4.26"/>
        <s v="RUON-11.25"/>
        <s v="RUON-12.25"/>
        <s v="RUON-3.26"/>
        <s v="RUON-2.26"/>
        <s v="RUON-10.25"/>
        <s v="RUON-1.26"/>
        <s v="ZINC-6.25"/>
        <s v="UCNY-3.26"/>
        <s v="TRNF-12.25"/>
        <s v="T-12.25"/>
        <s v="SBRF-12.25"/>
        <s v="NICKEL-12.25"/>
        <s v="MXI-12.25"/>
        <s v="MOEXCNY-12.25"/>
        <s v="MAGN-12.25"/>
        <s v="GAZR-3.26"/>
        <s v="CHMF-12.25"/>
        <s v="BR-11.25"/>
      </sharedItems>
    </cacheField>
    <cacheField name="Базовый актив" numFmtId="0">
      <sharedItems>
        <s v="ZINC"/>
        <s v="GLDRUBTOM"/>
        <s v="IMOEX"/>
        <s v="USDRUBTOM"/>
        <s v="EURRUBTOM"/>
        <s v="CNYRUBTOM"/>
        <s v="GAZPF"/>
        <s v="SBERF"/>
        <s v="GL"/>
        <s v="SUGAR"/>
        <s v="SIBN"/>
        <s v="EM"/>
        <s v="INDIA"/>
        <s v="NIKK"/>
        <s v="R2000"/>
        <s v="HANG"/>
        <s v="STOX"/>
        <s v="ALUM"/>
        <s v="GOLD"/>
        <s v="DJ30"/>
        <s v="NASD"/>
        <s v="SPYF"/>
        <s v="DAX"/>
        <s v="RGBI"/>
        <s v="MXI"/>
        <s v="MIX"/>
        <s v="MOEXCNY"/>
        <s v="HOME"/>
        <s v="RTSM"/>
        <s v="RTS"/>
        <s v="AMD"/>
        <s v="HKD"/>
        <s v="AED"/>
        <s v="Si"/>
        <s v="UCNY"/>
        <s v="UCHF"/>
        <s v="ED"/>
        <s v="Eu"/>
        <s v="INR"/>
        <s v="KZT"/>
        <s v="CNY"/>
        <s v="TRY"/>
        <s v="COPPER"/>
        <s v="BRM"/>
        <s v="BR"/>
        <s v="ALRS"/>
        <s v="VTBR"/>
        <s v="YDEX"/>
        <s v="VKCO"/>
        <s v="RUAL"/>
        <s v="AFLT"/>
        <s v="WUSH"/>
        <s v="POSI"/>
        <s v="FESH"/>
        <s v="KMAZ"/>
        <s v="LEAS"/>
        <s v="CBOM"/>
        <s v="BELU"/>
        <s v="RASP"/>
        <s v="SGZH"/>
        <s v="SVCB"/>
        <s v="FLOT"/>
        <s v="SOFL"/>
        <s v="SPBE"/>
        <s v="PHOR"/>
        <s v="SFIN"/>
        <s v="AFKS"/>
        <s v="BSPB"/>
        <s v="GAZP"/>
        <s v="GMKN"/>
        <s v="SMLT"/>
        <s v="IRAO"/>
        <s v="X5"/>
        <s v="MGNT"/>
        <s v="MTLR"/>
        <s v="MTSS"/>
        <s v="LKOH"/>
        <s v="ROSN"/>
        <s v="NLMK"/>
        <s v="NVTK"/>
        <s v="PIKK"/>
        <s v="RTKM"/>
        <s v="HYDR"/>
        <s v="SNGR"/>
        <s v="TATN"/>
        <s v="FEES"/>
        <s v="BANE"/>
        <s v="ASTR"/>
        <s v="MOEX"/>
        <s v="RNFT"/>
        <s v="PLD"/>
        <s v="PLT"/>
        <s v="SNGSP"/>
        <s v="TATNP"/>
        <s v="SBERP"/>
        <s v="NGM"/>
        <s v="NG"/>
        <s v="WHEAT"/>
        <s v="SILV"/>
        <s v="1MFR"/>
        <s v="RUON"/>
        <s v="TRNFP"/>
        <s v="T"/>
        <s v="SBER"/>
        <s v="NICKEL"/>
        <s v="MAGN"/>
        <s v="CHMF"/>
      </sharedItems>
    </cacheField>
    <cacheField name="Объем лота" numFmtId="0">
      <sharedItems containsSemiMixedTypes="0" containsString="0" containsNumber="1" containsInteger="1">
        <n v="100.0"/>
        <n v="1.0"/>
        <n v="10.0"/>
        <n v="1000.0"/>
        <n v="41.0"/>
        <n v="100000.0"/>
        <n v="10000.0"/>
        <n v="1000000.0"/>
      </sharedItems>
    </cacheField>
    <cacheField name="Дата экспирации" numFmtId="164">
      <sharedItems containsSemiMixedTypes="0" containsDate="1" containsString="0">
        <d v="2025-12-16T00:00:00Z"/>
        <d v="2100-01-01T00:00:00Z"/>
        <d v="2026-03-19T00:00:00Z"/>
        <d v="2025-12-18T00:00:00Z"/>
        <d v="2025-10-15T00:00:00Z"/>
        <d v="2025-12-19T00:00:00Z"/>
        <d v="2026-03-20T00:00:00Z"/>
        <d v="2025-12-01T00:00:00Z"/>
        <d v="2026-09-17T00:00:00Z"/>
        <d v="2027-06-17T00:00:00Z"/>
        <d v="2026-06-18T00:00:00Z"/>
        <d v="2027-03-18T00:00:00Z"/>
        <d v="2027-12-16T00:00:00Z"/>
        <d v="2026-12-17T00:00:00Z"/>
        <d v="2026-03-18T00:00:00Z"/>
        <d v="2025-12-24T00:00:00Z"/>
        <d v="2025-11-03T00:00:00Z"/>
        <d v="2026-03-02T00:00:00Z"/>
        <d v="2026-02-02T00:00:00Z"/>
        <d v="2026-01-05T00:00:00Z"/>
        <d v="2026-04-01T00:00:00Z"/>
        <d v="2025-09-19T00:00:00Z"/>
        <d v="2025-06-20T00:00:00Z"/>
        <d v="2026-06-19T00:00:00Z"/>
        <d v="2025-10-29T00:00:00Z"/>
        <d v="2026-02-27T00:00:00Z"/>
        <d v="2026-04-30T00:00:00Z"/>
        <d v="2026-03-31T00:00:00Z"/>
        <d v="2025-12-30T00:00:00Z"/>
        <d v="2025-11-28T00:00:00Z"/>
        <d v="2025-10-31T00:00:00Z"/>
        <d v="2026-01-30T00:00:00Z"/>
        <d v="2026-05-29T00:00:00Z"/>
        <d v="2025-06-17T00:00:00Z"/>
      </sharedItems>
    </cacheField>
    <cacheField name="Код инструмента" numFmtId="0">
      <sharedItems>
        <s v="ZCZ5"/>
        <s v="GLDRUBF"/>
        <s v="IMOEXF"/>
        <s v="USDRUBF"/>
        <s v="EURRUBF"/>
        <s v="CNYRUBF"/>
        <s v="GAZPF"/>
        <s v="SBERF"/>
        <s v="GLH6"/>
        <s v="GLZ5"/>
        <s v="SuV5"/>
        <s v="SOZ5"/>
        <s v="EMZ5"/>
        <s v="NDZ5"/>
        <s v="NDH6"/>
        <s v="N2Z5"/>
        <s v="R2Z5"/>
        <s v="HSZ5"/>
        <s v="SXZ5"/>
        <s v="ANZ5"/>
        <s v="GDH6"/>
        <s v="GDZ5"/>
        <s v="DJZ5"/>
        <s v="NAZ5"/>
        <s v="SFZ5"/>
        <s v="DXZ5"/>
        <s v="RBZ5"/>
        <s v="MMH6"/>
        <s v="MXH6"/>
        <s v="MXZ5"/>
        <s v="MMU6"/>
        <s v="MMM7"/>
        <s v="MMM6"/>
        <s v="MMH7"/>
        <s v="MMZ7"/>
        <s v="MMZ6"/>
        <s v="MYH6"/>
        <s v="HOH6"/>
        <s v="HOZ5"/>
        <s v="RMH6"/>
        <s v="RIM6"/>
        <s v="RIZ6"/>
        <s v="RIZ5"/>
        <s v="RMZ5"/>
        <s v="RIU6"/>
        <s v="RIH7"/>
        <s v="RIH6"/>
        <s v="ARH6"/>
        <s v="ARZ5"/>
        <s v="HKH6"/>
        <s v="HKZ5"/>
        <s v="AEZ5"/>
        <s v="AEH6"/>
        <s v="SiU6"/>
        <s v="SiM6"/>
        <s v="SiZ6"/>
        <s v="SiZ5"/>
        <s v="SiH7"/>
        <s v="SiH6"/>
        <s v="UCZ5"/>
        <s v="CFZ5"/>
        <s v="CFH6"/>
        <s v="EDZ5"/>
        <s v="EuU6"/>
        <s v="EuM6"/>
        <s v="EuH6"/>
        <s v="EuZ5"/>
        <s v="I2H6"/>
        <s v="I2Z5"/>
        <s v="KZZ5"/>
        <s v="KZH6"/>
        <s v="CRM6"/>
        <s v="CRZ5"/>
        <s v="CRU6"/>
        <s v="CRH6"/>
        <s v="TYZ5"/>
        <s v="TYH6"/>
        <s v="CEZ5"/>
        <s v="BMX5"/>
        <s v="BRH6"/>
        <s v="BRG6"/>
        <s v="BRF6"/>
        <s v="BRJ6"/>
        <s v="BRZ5"/>
        <s v="ALZ5"/>
        <s v="VBZ5"/>
        <s v="YDU5"/>
        <s v="YDM5"/>
        <s v="VKZ5"/>
        <s v="RLZ5"/>
        <s v="AFZ5"/>
        <s v="WUZ5"/>
        <s v="WUM5"/>
        <s v="PSZ5"/>
        <s v="FEZ5"/>
        <s v="KMZ5"/>
        <s v="LEZ5"/>
        <s v="CMZ5"/>
        <s v="NBZ5"/>
        <s v="RAZ5"/>
        <s v="SZZ5"/>
        <s v="SCZ5"/>
        <s v="FLZ5"/>
        <s v="S0Z5"/>
        <s v="SEZ5"/>
        <s v="PHZ5"/>
        <s v="SHZ5"/>
        <s v="AKZ5"/>
        <s v="BSZ5"/>
        <s v="GZM6"/>
        <s v="GZZ5"/>
        <s v="GKZ5"/>
        <s v="SSZ5"/>
        <s v="IRZ5"/>
        <s v="X5Z5"/>
        <s v="MNZ5"/>
        <s v="MCZ5"/>
        <s v="MTZ5"/>
        <s v="LKZ5"/>
        <s v="RNM6"/>
        <s v="RNH6"/>
        <s v="RNZ5"/>
        <s v="NMZ5"/>
        <s v="NKZ5"/>
        <s v="PIZ5"/>
        <s v="RTZ5"/>
        <s v="HYZ5"/>
        <s v="SNZ5"/>
        <s v="TTZ5"/>
        <s v="FSZ5"/>
        <s v="BNH6"/>
        <s v="BNZ5"/>
        <s v="ASZ5"/>
        <s v="MEZ5"/>
        <s v="RUZ5"/>
        <s v="PDZ5"/>
        <s v="PTZ5"/>
        <s v="SGZ5"/>
        <s v="TPZ5"/>
        <s v="SPZ5"/>
        <s v="NRV5"/>
        <s v="NGV5"/>
        <s v="W4G6"/>
        <s v="W4J6"/>
        <s v="W4H6"/>
        <s v="W4Z5"/>
        <s v="W4X5"/>
        <s v="W4V5"/>
        <s v="W4F6"/>
        <s v="SVH6"/>
        <s v="SVZ5"/>
        <s v="MFK6"/>
        <s v="MFH6"/>
        <s v="MFZ5"/>
        <s v="MFJ6"/>
        <s v="MFX5"/>
        <s v="MFG6"/>
        <s v="MFV5"/>
        <s v="MFF6"/>
        <s v="RRK6"/>
        <s v="RRJ6"/>
        <s v="RRX5"/>
        <s v="RRZ5"/>
        <s v="RRH6"/>
        <s v="RRG6"/>
        <s v="RRV5"/>
        <s v="RRF6"/>
        <s v="ZCM5"/>
        <s v="UCH6"/>
        <s v="TNZ5"/>
        <s v="TBZ5"/>
        <s v="SRZ5"/>
        <s v="NCZ5"/>
        <s v="MMZ5"/>
        <s v="MYZ5"/>
        <s v="MGZ5"/>
        <s v="GZH6"/>
        <s v="CHZ5"/>
        <s v="BRX5"/>
      </sharedItems>
    </cacheField>
    <cacheField name="Ссылка на инструмент" numFmtId="0">
      <sharedItems>
        <s v="https://www.moex.com/ru/contract.aspx?code=ZCZ5"/>
        <s v="https://www.moex.com/ru/contract.aspx?code=GLDRUBF"/>
        <s v="https://www.moex.com/ru/contract.aspx?code=IMOEXF"/>
        <s v="https://www.moex.com/ru/contract.aspx?code=USDRUBF"/>
        <s v="https://www.moex.com/ru/contract.aspx?code=EURRUBF"/>
        <s v="https://www.moex.com/ru/contract.aspx?code=CNYRUBF"/>
        <s v="https://www.moex.com/ru/contract.aspx?code=GAZPF"/>
        <s v="https://www.moex.com/ru/contract.aspx?code=SBERF"/>
        <s v="https://www.moex.com/ru/contract.aspx?code=GLH6"/>
        <s v="https://www.moex.com/ru/contract.aspx?code=GLZ5"/>
        <s v="https://www.moex.com/ru/contract.aspx?code=SuV5"/>
        <s v="https://www.moex.com/ru/contract.aspx?code=SOZ5"/>
        <s v="https://www.moex.com/ru/contract.aspx?code=EMZ5"/>
        <s v="https://www.moex.com/ru/contract.aspx?code=NDZ5"/>
        <s v="https://www.moex.com/ru/contract.aspx?code=NDH6"/>
        <s v="https://www.moex.com/ru/contract.aspx?code=N2Z5"/>
        <s v="https://www.moex.com/ru/contract.aspx?code=R2Z5"/>
        <s v="https://www.moex.com/ru/contract.aspx?code=HSZ5"/>
        <s v="https://www.moex.com/ru/contract.aspx?code=SXZ5"/>
        <s v="https://www.moex.com/ru/contract.aspx?code=ANZ5"/>
        <s v="https://www.moex.com/ru/contract.aspx?code=GDH6"/>
        <s v="https://www.moex.com/ru/contract.aspx?code=GDZ5"/>
        <s v="https://www.moex.com/ru/contract.aspx?code=DJZ5"/>
        <s v="https://www.moex.com/ru/contract.aspx?code=NAZ5"/>
        <s v="https://www.moex.com/ru/contract.aspx?code=SFZ5"/>
        <s v="https://www.moex.com/ru/contract.aspx?code=DXZ5"/>
        <s v="https://www.moex.com/ru/contract.aspx?code=RBZ5"/>
        <s v="https://www.moex.com/ru/contract.aspx?code=MMH6"/>
        <s v="https://www.moex.com/ru/contract.aspx?code=MXH6"/>
        <s v="https://www.moex.com/ru/contract.aspx?code=MXZ5"/>
        <s v="https://www.moex.com/ru/contract.aspx?code=MMU6"/>
        <s v="https://www.moex.com/ru/contract.aspx?code=MMM7"/>
        <s v="https://www.moex.com/ru/contract.aspx?code=MMM6"/>
        <s v="https://www.moex.com/ru/contract.aspx?code=MMH7"/>
        <s v="https://www.moex.com/ru/contract.aspx?code=MMZ7"/>
        <s v="https://www.moex.com/ru/contract.aspx?code=MMZ6"/>
        <s v="https://www.moex.com/ru/contract.aspx?code=MYH6"/>
        <s v="https://www.moex.com/ru/contract.aspx?code=HOH6"/>
        <s v="https://www.moex.com/ru/contract.aspx?code=HOZ5"/>
        <s v="https://www.moex.com/ru/contract.aspx?code=RMH6"/>
        <s v="https://www.moex.com/ru/contract.aspx?code=RIM6"/>
        <s v="https://www.moex.com/ru/contract.aspx?code=RIZ6"/>
        <s v="https://www.moex.com/ru/contract.aspx?code=RIZ5"/>
        <s v="https://www.moex.com/ru/contract.aspx?code=RMZ5"/>
        <s v="https://www.moex.com/ru/contract.aspx?code=RIU6"/>
        <s v="https://www.moex.com/ru/contract.aspx?code=RIH7"/>
        <s v="https://www.moex.com/ru/contract.aspx?code=RIH6"/>
        <s v="https://www.moex.com/ru/contract.aspx?code=ARH6"/>
        <s v="https://www.moex.com/ru/contract.aspx?code=ARZ5"/>
        <s v="https://www.moex.com/ru/contract.aspx?code=HKH6"/>
        <s v="https://www.moex.com/ru/contract.aspx?code=HKZ5"/>
        <s v="https://www.moex.com/ru/contract.aspx?code=AEZ5"/>
        <s v="https://www.moex.com/ru/contract.aspx?code=AEH6"/>
        <s v="https://www.moex.com/ru/contract.aspx?code=SiU6"/>
        <s v="https://www.moex.com/ru/contract.aspx?code=SiM6"/>
        <s v="https://www.moex.com/ru/contract.aspx?code=SiZ6"/>
        <s v="https://www.moex.com/ru/contract.aspx?code=SiZ5"/>
        <s v="https://www.moex.com/ru/contract.aspx?code=SiH7"/>
        <s v="https://www.moex.com/ru/contract.aspx?code=SiH6"/>
        <s v="https://www.moex.com/ru/contract.aspx?code=UCZ5"/>
        <s v="https://www.moex.com/ru/contract.aspx?code=CFZ5"/>
        <s v="https://www.moex.com/ru/contract.aspx?code=CFH6"/>
        <s v="https://www.moex.com/ru/contract.aspx?code=EDZ5"/>
        <s v="https://www.moex.com/ru/contract.aspx?code=EuU6"/>
        <s v="https://www.moex.com/ru/contract.aspx?code=EuM6"/>
        <s v="https://www.moex.com/ru/contract.aspx?code=EuH6"/>
        <s v="https://www.moex.com/ru/contract.aspx?code=EuZ5"/>
        <s v="https://www.moex.com/ru/contract.aspx?code=I2H6"/>
        <s v="https://www.moex.com/ru/contract.aspx?code=I2Z5"/>
        <s v="https://www.moex.com/ru/contract.aspx?code=KZZ5"/>
        <s v="https://www.moex.com/ru/contract.aspx?code=KZH6"/>
        <s v="https://www.moex.com/ru/contract.aspx?code=CRM6"/>
        <s v="https://www.moex.com/ru/contract.aspx?code=CRZ5"/>
        <s v="https://www.moex.com/ru/contract.aspx?code=CRU6"/>
        <s v="https://www.moex.com/ru/contract.aspx?code=CRH6"/>
        <s v="https://www.moex.com/ru/contract.aspx?code=TYZ5"/>
        <s v="https://www.moex.com/ru/contract.aspx?code=TYH6"/>
        <s v="https://www.moex.com/ru/contract.aspx?code=CEZ5"/>
        <s v="https://www.moex.com/ru/contract.aspx?code=BMX5"/>
        <s v="https://www.moex.com/ru/contract.aspx?code=BRH6"/>
        <s v="https://www.moex.com/ru/contract.aspx?code=BRG6"/>
        <s v="https://www.moex.com/ru/contract.aspx?code=BRF6"/>
        <s v="https://www.moex.com/ru/contract.aspx?code=BRJ6"/>
        <s v="https://www.moex.com/ru/contract.aspx?code=BRZ5"/>
        <s v="https://www.moex.com/ru/contract.aspx?code=ALZ5"/>
        <s v="https://www.moex.com/ru/contract.aspx?code=VBZ5"/>
        <s v="https://www.moex.com/ru/contract.aspx?code=YDU5"/>
        <s v="https://www.moex.com/ru/contract.aspx?code=YDM5"/>
        <s v="https://www.moex.com/ru/contract.aspx?code=VKZ5"/>
        <s v="https://www.moex.com/ru/contract.aspx?code=RLZ5"/>
        <s v="https://www.moex.com/ru/contract.aspx?code=AFZ5"/>
        <s v="https://www.moex.com/ru/contract.aspx?code=WUZ5"/>
        <s v="https://www.moex.com/ru/contract.aspx?code=WUM5"/>
        <s v="https://www.moex.com/ru/contract.aspx?code=PSZ5"/>
        <s v="https://www.moex.com/ru/contract.aspx?code=FEZ5"/>
        <s v="https://www.moex.com/ru/contract.aspx?code=KMZ5"/>
        <s v="https://www.moex.com/ru/contract.aspx?code=LEZ5"/>
        <s v="https://www.moex.com/ru/contract.aspx?code=CMZ5"/>
        <s v="https://www.moex.com/ru/contract.aspx?code=NBZ5"/>
        <s v="https://www.moex.com/ru/contract.aspx?code=RAZ5"/>
        <s v="https://www.moex.com/ru/contract.aspx?code=SZZ5"/>
        <s v="https://www.moex.com/ru/contract.aspx?code=SCZ5"/>
        <s v="https://www.moex.com/ru/contract.aspx?code=FLZ5"/>
        <s v="https://www.moex.com/ru/contract.aspx?code=S0Z5"/>
        <s v="https://www.moex.com/ru/contract.aspx?code=SEZ5"/>
        <s v="https://www.moex.com/ru/contract.aspx?code=PHZ5"/>
        <s v="https://www.moex.com/ru/contract.aspx?code=SHZ5"/>
        <s v="https://www.moex.com/ru/contract.aspx?code=AKZ5"/>
        <s v="https://www.moex.com/ru/contract.aspx?code=BSZ5"/>
        <s v="https://www.moex.com/ru/contract.aspx?code=GZM6"/>
        <s v="https://www.moex.com/ru/contract.aspx?code=GZZ5"/>
        <s v="https://www.moex.com/ru/contract.aspx?code=GKZ5"/>
        <s v="https://www.moex.com/ru/contract.aspx?code=SSZ5"/>
        <s v="https://www.moex.com/ru/contract.aspx?code=IRZ5"/>
        <s v="https://www.moex.com/ru/contract.aspx?code=X5Z5"/>
        <s v="https://www.moex.com/ru/contract.aspx?code=MNZ5"/>
        <s v="https://www.moex.com/ru/contract.aspx?code=MCZ5"/>
        <s v="https://www.moex.com/ru/contract.aspx?code=MTZ5"/>
        <s v="https://www.moex.com/ru/contract.aspx?code=LKZ5"/>
        <s v="https://www.moex.com/ru/contract.aspx?code=RNM6"/>
        <s v="https://www.moex.com/ru/contract.aspx?code=RNH6"/>
        <s v="https://www.moex.com/ru/contract.aspx?code=RNZ5"/>
        <s v="https://www.moex.com/ru/contract.aspx?code=NMZ5"/>
        <s v="https://www.moex.com/ru/contract.aspx?code=NKZ5"/>
        <s v="https://www.moex.com/ru/contract.aspx?code=PIZ5"/>
        <s v="https://www.moex.com/ru/contract.aspx?code=RTZ5"/>
        <s v="https://www.moex.com/ru/contract.aspx?code=HYZ5"/>
        <s v="https://www.moex.com/ru/contract.aspx?code=SNZ5"/>
        <s v="https://www.moex.com/ru/contract.aspx?code=TTZ5"/>
        <s v="https://www.moex.com/ru/contract.aspx?code=FSZ5"/>
        <s v="https://www.moex.com/ru/contract.aspx?code=BNH6"/>
        <s v="https://www.moex.com/ru/contract.aspx?code=BNZ5"/>
        <s v="https://www.moex.com/ru/contract.aspx?code=ASZ5"/>
        <s v="https://www.moex.com/ru/contract.aspx?code=MEZ5"/>
        <s v="https://www.moex.com/ru/contract.aspx?code=RUZ5"/>
        <s v="https://www.moex.com/ru/contract.aspx?code=PDZ5"/>
        <s v="https://www.moex.com/ru/contract.aspx?code=PTZ5"/>
        <s v="https://www.moex.com/ru/contract.aspx?code=SGZ5"/>
        <s v="https://www.moex.com/ru/contract.aspx?code=TPZ5"/>
        <s v="https://www.moex.com/ru/contract.aspx?code=SPZ5"/>
        <s v="https://www.moex.com/ru/contract.aspx?code=NRV5"/>
        <s v="https://www.moex.com/ru/contract.aspx?code=NGV5"/>
        <s v="https://www.moex.com/ru/contract.aspx?code=W4G6"/>
        <s v="https://www.moex.com/ru/contract.aspx?code=W4J6"/>
        <s v="https://www.moex.com/ru/contract.aspx?code=W4H6"/>
        <s v="https://www.moex.com/ru/contract.aspx?code=W4Z5"/>
        <s v="https://www.moex.com/ru/contract.aspx?code=W4X5"/>
        <s v="https://www.moex.com/ru/contract.aspx?code=W4V5"/>
        <s v="https://www.moex.com/ru/contract.aspx?code=W4F6"/>
        <s v="https://www.moex.com/ru/contract.aspx?code=SVH6"/>
        <s v="https://www.moex.com/ru/contract.aspx?code=SVZ5"/>
        <s v="https://www.moex.com/ru/contract.aspx?code=MFK6"/>
        <s v="https://www.moex.com/ru/contract.aspx?code=MFH6"/>
        <s v="https://www.moex.com/ru/contract.aspx?code=MFZ5"/>
        <s v="https://www.moex.com/ru/contract.aspx?code=MFJ6"/>
        <s v="https://www.moex.com/ru/contract.aspx?code=MFX5"/>
        <s v="https://www.moex.com/ru/contract.aspx?code=MFG6"/>
        <s v="https://www.moex.com/ru/contract.aspx?code=MFV5"/>
        <s v="https://www.moex.com/ru/contract.aspx?code=MFF6"/>
        <s v="https://www.moex.com/ru/contract.aspx?code=RRK6"/>
        <s v="https://www.moex.com/ru/contract.aspx?code=RRJ6"/>
        <s v="https://www.moex.com/ru/contract.aspx?code=RRX5"/>
        <s v="https://www.moex.com/ru/contract.aspx?code=RRZ5"/>
        <s v="https://www.moex.com/ru/contract.aspx?code=RRH6"/>
        <s v="https://www.moex.com/ru/contract.aspx?code=RRG6"/>
        <s v="https://www.moex.com/ru/contract.aspx?code=RRV5"/>
        <s v="https://www.moex.com/ru/contract.aspx?code=RRF6"/>
        <s v="https://www.moex.com/ru/contract.aspx?code=ZCM5"/>
        <s v="https://www.moex.com/ru/contract.aspx?code=UCH6"/>
        <s v="https://www.moex.com/ru/contract.aspx?code=TNZ5"/>
        <s v="https://www.moex.com/ru/contract.aspx?code=TBZ5"/>
        <s v="https://www.moex.com/ru/contract.aspx?code=SRZ5"/>
        <s v="https://www.moex.com/ru/contract.aspx?code=NCZ5"/>
        <s v="https://www.moex.com/ru/contract.aspx?code=MMZ5"/>
        <s v="https://www.moex.com/ru/contract.aspx?code=MYZ5"/>
        <s v="https://www.moex.com/ru/contract.aspx?code=MGZ5"/>
        <s v="https://www.moex.com/ru/contract.aspx?code=GZH6"/>
        <s v="https://www.moex.com/ru/contract.aspx?code=CHZ5"/>
        <s v="https://www.moex.com/ru/contract.aspx?code=BRX5"/>
      </sharedItems>
    </cacheField>
    <cacheField name="Актуальность" numFmtId="0">
      <sharedItems>
        <s v="ок"/>
        <s v="удалить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O28" sheet="Свод"/>
  </cacheSource>
  <cacheFields>
    <cacheField name="Фьючерсный контракт на" numFmtId="0">
      <sharedItems>
        <s v="Фьючерсный контракт на обыкновенные акции ПАО &quot;Аэрофлот&quot;"/>
        <s v="Фьючерсный контракт на обыкновенные акции АК &quot;АЛРОСА&quot;"/>
        <s v="Фьючерсный контракт на инвестиционные паи DJ Industrial Average ETF Trust"/>
        <s v="Фьючерсный контракт на обыкновенные акции ПАО &quot;НоваБев Групп&quot;"/>
        <s v="Фьючерсный контракт на обыкновенные акции ПАО «Банк «Санкт-Петербург»"/>
        <s v="Фьючерсный контракт на обыкновенные акции ПАО «Северсталь»"/>
        <s v="Фьючерсный контракт на обыкновенные акции ПАО «Федеральная сетевая &#10;компания-Россети»"/>
        <s v="Фьючерсный контракт на обыкновенные акции ПАО «Газпром»"/>
        <s v="Фьючерсный контракт на обыкновенные акции ПАО «НК «ЛУКОЙЛ»"/>
        <s v="Фьючерсный контракт на обыкновенные акции ПАО «Магнитогорский металлургический комбинат»"/>
        <s v="Фьючерсный контракт на обыкновенные акции ПАО «Магнит»"/>
        <s v="Фьючерсный контракт на обыкновенные акции ПАО Московская Биржа"/>
        <s v="Фьючерсный контракт на обыкновенные акции ПАО «МТС»"/>
        <s v="Фьючерсный контракт на обыкновенные акции ПАО «НЛМК»"/>
        <s v="Фьючерсный контракт на обыкновенные акции ПАО «НОВАТЭК»"/>
        <s v="Фьючерсный контракт на обыкновенные акции ПАО &quot;ФосАгро&quot;"/>
        <s v="Фьючерсный контракт на обыкновенные акции ПАО «НК «Роснефть»"/>
        <s v="Фьючерсный контракт на обыкновенные акции ПАО «Ростелеком»"/>
        <s v="Фьючерсный контракт на обыкновенные акции ПАО Сбербанк"/>
        <s v="Фьючерский контракт на обыкновенные акции ПАО «Газпром нефть»"/>
        <s v="Фьючерсный контракт на привилегированные акции ПАО «Сургутнефтегаз»"/>
        <s v="Фьючерсный контракт на обыкновенные акции ПАО &quot;СПБ Биржа&quot;"/>
        <s v="Фьючерсный контракт на обыкновенные акции ПАО «Татнефть» им. В.Д. Шашина"/>
        <s v="Фьючерсный контракт на привилегированные акции ПАО «Татнефть» им. В.Д. &#10;Шашина"/>
        <s v="Фьючерсный контракт на привилегированные акции ПАО «Транснефть»"/>
        <s v="Фьючерсный контракт на обыкновенные акции МКПАО «ВК»"/>
        <s v="Фьючерсный контракт на обыкновенные акции Банк ВТБ"/>
      </sharedItems>
    </cacheField>
    <cacheField name="Фьючерсы на акции" numFmtId="0">
      <sharedItems>
        <s v="AFLT-12.25"/>
        <s v="ALRS-12.25"/>
        <s v="DJ30-12.25"/>
        <s v="BELUGA-12.25"/>
        <s v="BSPB-12.25"/>
        <s v="CHMF-12.25"/>
        <s v="FEES-12.25"/>
        <s v="GAZR-12.25"/>
        <s v="LKOH-12.25"/>
        <s v="MAGN-12.25"/>
        <s v="MGNT-12.25"/>
        <s v="MOEX-12.25"/>
        <s v="MTSI-12.25"/>
        <s v="NLMK-12.25"/>
        <s v="NOTK-12.25"/>
        <s v="PHOR-12.25"/>
        <s v="ROSN-12.25"/>
        <s v="RTKM-12.25"/>
        <s v="SBRF-12.25"/>
        <s v="SIBN-12.25"/>
        <s v="SNGP-12.25"/>
        <s v="SPBE-12.25"/>
        <s v="TATN-12.25"/>
        <s v="TATP-12.25"/>
        <s v="TRNF-12.25"/>
        <s v="VKCO-12.25"/>
        <s v="VTBR-12.25"/>
      </sharedItems>
    </cacheField>
    <cacheField name="Код инструмента" numFmtId="0">
      <sharedItems>
        <s v="AFZ5"/>
        <s v="ALZ5"/>
        <s v="DJZ5"/>
        <s v="NBZ5"/>
        <s v="BSZ5"/>
        <s v="CHZ5"/>
        <s v="FSZ5"/>
        <s v="GZZ5"/>
        <s v="LKZ5"/>
        <s v="MGZ5"/>
        <s v="MNZ5"/>
        <s v="MEZ5"/>
        <s v="MTZ5"/>
        <s v="NMZ5"/>
        <s v="NKZ5"/>
        <s v="PHZ5"/>
        <s v="RNZ5"/>
        <s v="RTZ5"/>
        <s v="SRZ5"/>
        <s v="SOZ5"/>
        <s v="SGZ5"/>
        <s v="SEZ5"/>
        <s v="TTZ5"/>
        <s v="TPZ5"/>
        <s v="TNZ5"/>
        <s v="VKZ5"/>
        <s v="VBZ5"/>
      </sharedItems>
    </cacheField>
    <cacheField name="Ссылка на инструмент" numFmtId="0">
      <sharedItems>
        <s v="https://www.moex.com/ru/contract.aspx?code=AFZ5"/>
        <s v="https://www.moex.com/ru/contract.aspx?code=ALZ5"/>
        <s v="https://www.moex.com/ru/contract.aspx?code=DJZ5"/>
        <s v="https://www.moex.com/ru/contract.aspx?code=NBZ5"/>
        <s v="https://www.moex.com/ru/contract.aspx?code=BSZ5"/>
        <s v="https://www.moex.com/ru/contract.aspx?code=CHZ5"/>
        <s v="https://www.moex.com/ru/contract.aspx?code=FSZ5"/>
        <s v="https://www.moex.com/ru/contract.aspx?code=GZZ5"/>
        <s v="https://www.moex.com/ru/contract.aspx?code=LKZ5"/>
        <s v="https://www.moex.com/ru/contract.aspx?code=MGZ5"/>
        <s v="https://www.moex.com/ru/contract.aspx?code=MNZ5"/>
        <s v="https://www.moex.com/ru/contract.aspx?code=MEZ5"/>
        <s v="https://www.moex.com/ru/contract.aspx?code=MTZ5"/>
        <s v="https://www.moex.com/ru/contract.aspx?code=NMZ5"/>
        <s v="https://www.moex.com/ru/contract.aspx?code=NKZ5"/>
        <s v="https://www.moex.com/ru/contract.aspx?code=PHZ5"/>
        <s v="https://www.moex.com/ru/contract.aspx?code=RNZ5"/>
        <s v="https://www.moex.com/ru/contract.aspx?code=RTZ5"/>
        <s v="https://www.moex.com/ru/contract.aspx?code=SRZ5"/>
        <s v="https://www.moex.com/ru/contract.aspx?code=SOZ5"/>
        <s v="https://www.moex.com/ru/contract.aspx?code=SGZ5"/>
        <s v="https://www.moex.com/ru/contract.aspx?code=SEZ5"/>
        <s v="https://www.moex.com/ru/contract.aspx?code=TTZ5"/>
        <s v="https://www.moex.com/ru/contract.aspx?code=TPZ5"/>
        <s v="https://www.moex.com/ru/contract.aspx?code=TNZ5"/>
        <s v="https://www.moex.com/ru/contract.aspx?code=VKZ5"/>
        <s v="https://www.moex.com/ru/contract.aspx?code=VBZ5"/>
      </sharedItems>
    </cacheField>
    <cacheField name="Последняя сделка (неформатированные данные)">
      <sharedItems containsMixedTypes="1" containsNumber="1" containsInteger="1">
        <s v="5 169"/>
        <s v="4 111"/>
        <e v="#N/A"/>
        <n v="386.0"/>
        <s v="3 391"/>
        <s v="90 297"/>
        <s v="6 445"/>
        <s v="11 899"/>
        <s v="58 267"/>
        <s v="25 758"/>
        <s v="2 981"/>
        <s v="16 037"/>
        <s v="20 670"/>
        <s v="10 034"/>
        <s v="110 644"/>
        <s v="6 968"/>
        <s v="41 426"/>
        <s v="6 181"/>
        <s v="29 256"/>
        <s v="4 874"/>
        <s v="38 051"/>
        <s v="2 086"/>
        <s v="55 981"/>
        <s v="5 250"/>
        <s v="1 269"/>
        <s v="2 570"/>
      </sharedItems>
    </cacheField>
    <cacheField name="Последняя сделка">
      <sharedItems containsMixedTypes="1" containsNumber="1" containsInteger="1">
        <n v="5169.0"/>
        <n v="4111.0"/>
        <e v="#N/A"/>
        <n v="386.0"/>
        <n v="3391.0"/>
        <n v="90297.0"/>
        <n v="6445.0"/>
        <n v="11899.0"/>
        <n v="58267.0"/>
        <n v="25758.0"/>
        <n v="2981.0"/>
        <n v="16037.0"/>
        <n v="20670.0"/>
        <n v="10034.0"/>
        <n v="110644.0"/>
        <n v="6968.0"/>
        <n v="41426.0"/>
        <n v="6181.0"/>
        <n v="29256.0"/>
        <n v="4874.0"/>
        <n v="38051.0"/>
        <n v="2086.0"/>
        <n v="55981.0"/>
        <n v="5250.0"/>
        <n v="1269.0"/>
        <n v="2570.0"/>
      </sharedItems>
    </cacheField>
    <cacheField name="Объем лота" numFmtId="0">
      <sharedItems containsSemiMixedTypes="0" containsString="0" containsNumber="1" containsInteger="1">
        <n v="100.0"/>
        <n v="1.0"/>
        <n v="10.0"/>
        <n v="100000.0"/>
        <n v="1000.0"/>
      </sharedItems>
    </cacheField>
    <cacheField name="Дата экспирации" numFmtId="164">
      <sharedItems containsSemiMixedTypes="0" containsDate="1" containsString="0">
        <d v="2025-12-19T00:00:00Z"/>
      </sharedItems>
    </cacheField>
    <cacheField name="Базовый актив" numFmtId="0">
      <sharedItems>
        <s v="AFLT"/>
        <s v="ALRS"/>
        <s v="DJ30"/>
        <s v="BELU"/>
        <s v="BSPB"/>
        <s v="CHMF"/>
        <s v="FEES"/>
        <s v="GAZP"/>
        <s v="LKOH"/>
        <s v="MAGN"/>
        <s v="MGNT"/>
        <s v="MOEX"/>
        <s v="MTSS"/>
        <s v="NLMK"/>
        <s v="NVTK"/>
        <s v="PHOR"/>
        <s v="ROSN"/>
        <s v="RTKM"/>
        <s v="SBER"/>
        <s v="SIBN"/>
        <s v="SNGSP"/>
        <s v="SPBE"/>
        <s v="TATN"/>
        <s v="TATNP"/>
        <s v="TRNFP"/>
        <s v="VKCO"/>
        <s v="VTBR"/>
      </sharedItems>
    </cacheField>
    <cacheField name="Цена последней сделки">
      <sharedItems containsMixedTypes="1" containsNumber="1">
        <n v="50.25"/>
        <n v="39.84"/>
        <e v="#N/A"/>
        <n v="390.0"/>
        <n v="327.9"/>
        <n v="876.2"/>
        <n v="0.06254"/>
        <n v="115.47"/>
        <n v="5846.5"/>
        <n v="25.15"/>
        <n v="2890.5"/>
        <n v="155.55"/>
        <n v="200.65"/>
        <n v="97.18"/>
        <n v="1074.2"/>
        <n v="6776.0"/>
        <n v="401.5"/>
        <n v="60.95"/>
        <n v="283.97"/>
        <n v="470.7"/>
        <n v="36.975"/>
        <n v="203.4"/>
        <n v="541.8"/>
        <n v="510.4"/>
        <n v="1228.0"/>
        <n v="250.1"/>
        <n v="67.6"/>
      </sharedItems>
    </cacheField>
    <cacheField name="Ссылка на БА" numFmtId="0">
      <sharedItems>
        <s v="https://www.moex.com/ru/issue.aspx?board=TQBR&amp;code=AFLT"/>
        <s v="https://www.moex.com/ru/issue.aspx?board=TQBR&amp;code=ALRS"/>
        <s v="https://www.moex.com/ru/issue.aspx?board=TQBR&amp;code=DJ30"/>
        <s v="https://www.moex.com/ru/issue.aspx?board=TQBR&amp;code=BELU"/>
        <s v="https://www.moex.com/ru/issue.aspx?board=TQBR&amp;code=BSPB"/>
        <s v="https://www.moex.com/ru/issue.aspx?board=TQBR&amp;code=CHMF"/>
        <s v="https://www.moex.com/ru/issue.aspx?board=TQBR&amp;code=FEES"/>
        <s v="https://www.moex.com/ru/issue.aspx?board=TQBR&amp;code=GAZP"/>
        <s v="https://www.moex.com/ru/issue.aspx?board=TQBR&amp;code=LKOH"/>
        <s v="https://www.moex.com/ru/issue.aspx?board=TQBR&amp;code=MAGN"/>
        <s v="https://www.moex.com/ru/issue.aspx?board=TQBR&amp;code=MGNT"/>
        <s v="https://www.moex.com/ru/issue.aspx?board=TQBR&amp;code=MOEX"/>
        <s v="https://www.moex.com/ru/issue.aspx?board=TQBR&amp;code=MTSS"/>
        <s v="https://www.moex.com/ru/issue.aspx?board=TQBR&amp;code=NLMK"/>
        <s v="https://www.moex.com/ru/issue.aspx?board=TQBR&amp;code=NVTK"/>
        <s v="https://www.moex.com/ru/issue.aspx?board=TQBR&amp;code=PHOR"/>
        <s v="https://www.moex.com/ru/issue.aspx?board=TQBR&amp;code=ROSN"/>
        <s v="https://www.moex.com/ru/issue.aspx?board=TQBR&amp;code=RTKM"/>
        <s v="https://www.moex.com/ru/issue.aspx?board=TQBR&amp;code=SBER"/>
        <s v="https://www.moex.com/ru/issue.aspx?board=TQBR&amp;code=SIBN"/>
        <s v="https://www.moex.com/ru/issue.aspx?board=TQBR&amp;code=SNGSP"/>
        <s v="https://www.moex.com/ru/issue.aspx?board=TQBR&amp;code=SPBE"/>
        <s v="https://www.moex.com/ru/issue.aspx?board=TQBR&amp;code=TATN"/>
        <s v="https://www.moex.com/ru/issue.aspx?board=TQBR&amp;code=TATNP"/>
        <s v="https://www.moex.com/ru/issue.aspx?board=TQBR&amp;code=TRNFP"/>
        <s v="https://www.moex.com/ru/issue.aspx?board=TQBR&amp;code=VKCO"/>
        <s v="https://www.moex.com/ru/issue.aspx?board=TQBR&amp;code=VTBR"/>
      </sharedItems>
    </cacheField>
    <cacheField name="Доля">
      <sharedItems containsMixedTypes="1" containsNumber="1">
        <n v="0.028656716417910403"/>
        <n v="0.03187751004016054"/>
        <e v="#N/A"/>
        <n v="-0.010256410256410256"/>
        <n v="0.03415675510826486"/>
        <n v="0.03055238530015976"/>
        <n v="0.030540454109369924"/>
        <n v="0.030484108426431074"/>
        <n v="-0.003386641580432769"/>
        <n v="0.02417495029821076"/>
        <n v="0.03130946203079052"/>
        <n v="0.030986820957891306"/>
        <n v="0.030152005980563085"/>
        <n v="0.032516978802222644"/>
        <n v="0.030013032954757036"/>
        <n v="0.02833530106257379"/>
        <n v="0.0317808219178082"/>
        <n v="0.014109926168990965"/>
        <n v="0.030249674261365548"/>
        <n v="0.035479073719991476"/>
        <n v="0.029100743745774184"/>
        <n v="0.025565388397246747"/>
        <n v="0.03324104835732741"/>
        <n v="0.028605015673981236"/>
        <n v="0.033387622149837134"/>
        <n v="0.027588964414234328"/>
        <n v="0.03076923076923096"/>
      </sharedItems>
    </cacheField>
    <cacheField name="Справедливая цена" numFmtId="10">
      <sharedItems containsSemiMixedTypes="0" containsString="0" containsNumber="1">
        <n v="0.035068493150684936"/>
      </sharedItems>
    </cacheField>
    <cacheField name="Отклонение, %   ">
      <sharedItems containsMixedTypes="1" containsNumber="1">
        <n v="-0.006411776732774533"/>
        <n v="-0.0031909831105243966"/>
        <e v="#N/A"/>
        <n v="-0.04532490340709519"/>
        <n v="-9.117380424200766E-4"/>
        <n v="-0.0045161078505251764"/>
        <n v="-0.0045280390413150115"/>
        <n v="-0.004584384724253862"/>
        <n v="-0.0384551347311177"/>
        <n v="-0.010893542852474177"/>
        <n v="-0.003759031119894417"/>
        <n v="-0.00408167219279363"/>
        <n v="-0.004916487170121851"/>
        <n v="-0.0025515143484622915"/>
        <n v="-0.0050554601959279"/>
        <n v="-0.006733192088111146"/>
        <n v="-0.0032876712328767377"/>
        <n v="-0.02095856698169397"/>
        <n v="-0.004818818889319388"/>
        <n v="4.105805693065401E-4"/>
        <n v="-0.005967749404910752"/>
        <n v="-0.009503104753438189"/>
        <n v="-0.001827444793357523"/>
        <n v="-0.0064634774767036995"/>
        <n v="-0.0016808710008478014"/>
        <n v="-0.007479528736450608"/>
        <n v="-0.004299262381453978"/>
      </sharedItems>
    </cacheField>
    <cacheField name="Отклонение расчет">
      <sharedItems containsMixedTypes="1" containsNumber="1">
        <n v="-0.006411776732774533"/>
        <n v="-0.0031909831105243966"/>
        <e v="#N/A"/>
        <n v="-0.04532490340709519"/>
        <n v="-9.117380424200766E-4"/>
        <n v="-0.0045161078505251764"/>
        <n v="-0.0045280390413150115"/>
        <n v="-0.004584384724253862"/>
        <n v="-0.0384551347311177"/>
        <n v="-0.010893542852474177"/>
        <n v="-0.003759031119894417"/>
        <n v="-0.00408167219279363"/>
        <n v="-0.004916487170121851"/>
        <n v="-0.0025515143484622915"/>
        <n v="-0.0050554601959279"/>
        <n v="-0.006733192088111146"/>
        <n v="-0.0032876712328767377"/>
        <n v="-0.02095856698169397"/>
        <n v="-0.004818818889319388"/>
        <n v="4.105805693065401E-4"/>
        <n v="-0.005967749404910752"/>
        <n v="-0.009503104753438189"/>
        <n v="-0.001827444793357523"/>
        <n v="-0.0064634774767036995"/>
        <n v="-0.0016808710008478014"/>
        <n v="-0.007479528736450608"/>
        <n v="-0.004299262381453978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правочник" cacheId="0" dataCaption="" rowGrandTotals="0" compact="0" compactData="0">
  <location ref="K9:L183" firstHeaderRow="0" firstDataRow="1" firstDataCol="0" rowPageCount="1" colPageCount="1"/>
  <pivotFields>
    <pivotField name="Фьючерсный контракт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t="default"/>
      </items>
    </pivotField>
    <pivotField name="Фьючерсы на акции" axis="axisRow" compact="0" outline="0" multipleItemSelectionAllowed="1" showAll="0" sortType="ascending">
      <items>
        <item x="158"/>
        <item x="157"/>
        <item x="155"/>
        <item x="153"/>
        <item x="156"/>
        <item x="152"/>
        <item x="154"/>
        <item x="151"/>
        <item x="51"/>
        <item x="52"/>
        <item x="107"/>
        <item x="90"/>
        <item x="84"/>
        <item x="19"/>
        <item x="48"/>
        <item x="47"/>
        <item x="132"/>
        <item x="131"/>
        <item x="130"/>
        <item x="98"/>
        <item x="81"/>
        <item x="178"/>
        <item x="83"/>
        <item x="80"/>
        <item x="79"/>
        <item x="82"/>
        <item x="78"/>
        <item x="108"/>
        <item x="97"/>
        <item x="177"/>
        <item x="72"/>
        <item x="74"/>
        <item x="71"/>
        <item x="73"/>
        <item x="5"/>
        <item x="77"/>
        <item x="25"/>
        <item x="22"/>
        <item x="62"/>
        <item x="12"/>
        <item x="66"/>
        <item x="65"/>
        <item x="64"/>
        <item x="63"/>
        <item x="4"/>
        <item x="129"/>
        <item x="94"/>
        <item x="102"/>
        <item x="6"/>
        <item x="110"/>
        <item x="176"/>
        <item x="109"/>
        <item x="9"/>
        <item x="8"/>
        <item x="1"/>
        <item x="111"/>
        <item x="21"/>
        <item x="20"/>
        <item x="17"/>
        <item x="50"/>
        <item x="49"/>
        <item x="38"/>
        <item x="37"/>
        <item x="126"/>
        <item x="2"/>
        <item x="13"/>
        <item x="14"/>
        <item x="68"/>
        <item x="67"/>
        <item x="113"/>
        <item x="95"/>
        <item x="69"/>
        <item x="70"/>
        <item x="96"/>
        <item x="118"/>
        <item x="175"/>
        <item x="115"/>
        <item x="29"/>
        <item x="28"/>
        <item x="133"/>
        <item x="174"/>
        <item x="36"/>
        <item x="116"/>
        <item x="117"/>
        <item x="173"/>
        <item x="35"/>
        <item x="34"/>
        <item x="27"/>
        <item x="33"/>
        <item x="32"/>
        <item x="31"/>
        <item x="30"/>
        <item x="23"/>
        <item x="141"/>
        <item x="140"/>
        <item x="172"/>
        <item x="15"/>
        <item x="122"/>
        <item x="123"/>
        <item x="105"/>
        <item x="124"/>
        <item x="135"/>
        <item x="136"/>
        <item x="93"/>
        <item x="16"/>
        <item x="99"/>
        <item x="26"/>
        <item x="134"/>
        <item x="121"/>
        <item x="120"/>
        <item x="119"/>
        <item x="125"/>
        <item x="42"/>
        <item x="41"/>
        <item x="46"/>
        <item x="45"/>
        <item x="40"/>
        <item x="44"/>
        <item x="43"/>
        <item x="39"/>
        <item x="89"/>
        <item x="166"/>
        <item x="165"/>
        <item x="161"/>
        <item x="162"/>
        <item x="164"/>
        <item x="163"/>
        <item x="160"/>
        <item x="159"/>
        <item x="7"/>
        <item x="139"/>
        <item x="171"/>
        <item x="106"/>
        <item x="100"/>
        <item x="56"/>
        <item x="55"/>
        <item x="58"/>
        <item x="57"/>
        <item x="54"/>
        <item x="53"/>
        <item x="11"/>
        <item x="150"/>
        <item x="149"/>
        <item x="112"/>
        <item x="137"/>
        <item x="127"/>
        <item x="103"/>
        <item x="104"/>
        <item x="24"/>
        <item x="18"/>
        <item x="10"/>
        <item x="101"/>
        <item x="170"/>
        <item x="128"/>
        <item x="138"/>
        <item x="169"/>
        <item x="75"/>
        <item x="76"/>
        <item x="60"/>
        <item x="61"/>
        <item x="59"/>
        <item x="168"/>
        <item x="3"/>
        <item x="88"/>
        <item x="85"/>
        <item x="148"/>
        <item x="147"/>
        <item x="146"/>
        <item x="145"/>
        <item x="142"/>
        <item x="144"/>
        <item x="143"/>
        <item x="91"/>
        <item x="92"/>
        <item x="114"/>
        <item x="87"/>
        <item x="86"/>
        <item x="0"/>
        <item x="167"/>
        <item t="default"/>
      </items>
    </pivotField>
    <pivotField name="Базовый актив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Объем лота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Дата экспирации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Код инструмента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t="default"/>
      </items>
    </pivotField>
    <pivotField name="Ссылка на инструмент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t="default"/>
      </items>
    </pivotField>
    <pivotField name="Актуальность" axis="axisPage" compact="0" outline="0" multipleItemSelectionAllowed="1" showAll="0">
      <items>
        <item x="0"/>
        <item h="1" x="1"/>
        <item t="default"/>
      </items>
    </pivotField>
  </pivotFields>
  <rowFields>
    <field x="1"/>
  </rowFields>
  <pageFields>
    <pageField fld="7"/>
  </pageFields>
</pivotTableDefinition>
</file>

<file path=xl/pivotTables/pivotTable2.xml><?xml version="1.0" encoding="utf-8"?>
<pivotTableDefinition xmlns="http://schemas.openxmlformats.org/spreadsheetml/2006/main" name="Telegram" cacheId="1" dataCaption="" rowGrandTotals="0" createdVersion="6" compact="0" compactData="0">
  <location ref="A3:C5" firstHeaderRow="0" firstDataRow="2" firstDataCol="0" rowPageCount="1" colPageCount="1"/>
  <pivotFields>
    <pivotField name="Фьючерсный контракт на" axis="axisRow" compact="0" outline="0" multipleItemSelectionAllowed="1" showAll="0" sortType="a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Фьючерсы на акции" axis="axisRow" compact="0" outline="0" multipleItemSelectionAllowed="1" showAll="0" sortType="ascending">
      <items>
        <item x="0"/>
        <item x="1"/>
        <item x="3"/>
        <item x="4"/>
        <item x="5"/>
        <item x="2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Код инструмента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Ссылка на инструмент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Последняя сделка (неформатированные данные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Последняя сделка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Объем лота" compact="0" outline="0" multipleItemSelectionAllowed="1" showAll="0">
      <items>
        <item x="0"/>
        <item x="1"/>
        <item x="2"/>
        <item x="3"/>
        <item x="4"/>
        <item t="default"/>
      </items>
    </pivotField>
    <pivotField name="Дата экспирации" compact="0" numFmtId="164" outline="0" multipleItemSelectionAllowed="1" showAll="0">
      <items>
        <item x="0"/>
        <item t="default"/>
      </items>
    </pivotField>
    <pivotField name="Базовый актив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Цена последней сделки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Ссылка на БА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Доля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Справедливая цена" compact="0" numFmtId="10" outline="0" multipleItemSelectionAllowed="1" showAll="0">
      <items>
        <item x="0"/>
        <item t="default"/>
      </items>
    </pivotField>
    <pivotField name="Отклонение, %   " axis="axisP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Отклонение расчет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</pivotFields>
  <rowFields>
    <field x="0"/>
    <field x="1"/>
  </rowFields>
  <pageFields>
    <pageField fld="13"/>
  </pageFields>
  <dataFields>
    <dataField name="Отклонение, %   " fld="13" baseField="0"/>
  </dataFields>
  <filters>
    <filter fld="13" type="captionNotBetween" evalOrder="-1" id="1" stringValue1="-0.025" stringValue2="0.025">
      <autoFilter ref="A1">
        <filterColumn colId="0">
          <customFilters>
            <customFilter operator="lessThan" val="-0.025"/>
            <customFilter operator="greaterThan" val="0.025"/>
          </customFilters>
        </filterColumn>
      </autoFilter>
    </filter>
  </filters>
</pivotTableDefinition>
</file>

<file path=xl/tables/table1.xml><?xml version="1.0" encoding="utf-8"?>
<table xmlns="http://schemas.openxmlformats.org/spreadsheetml/2006/main" ref="A1:O28" displayName="СВОДНАЯ" name="СВОДНАЯ" id="1">
  <tableColumns count="15">
    <tableColumn name="Фьючерсный контракт на" id="1"/>
    <tableColumn name="Фьючерсы на акции" id="2"/>
    <tableColumn name="Код инструмента" id="3"/>
    <tableColumn name="Ссылка на инструмент" id="4"/>
    <tableColumn name="Последняя сделка (неформатированные данные)" id="5"/>
    <tableColumn name="Последняя сделка" id="6"/>
    <tableColumn name="Объем лота" id="7"/>
    <tableColumn name="Дата экспирации" id="8"/>
    <tableColumn name="Базовый актив" id="9"/>
    <tableColumn name="Цена последней сделки" id="10"/>
    <tableColumn name="Ссылка на БА" id="11"/>
    <tableColumn name="Доля" id="12"/>
    <tableColumn name="Справедливая цена" id="13"/>
    <tableColumn name="Отклонение, %   " id="14"/>
    <tableColumn name="Отклонение расчет" id="15"/>
  </tableColumns>
  <tableStyleInfo name="Свод-style" showColumnStripes="0" showFirstColumn="1" showLastColumn="1" showRowStripes="1"/>
</table>
</file>

<file path=xl/tables/table2.xml><?xml version="1.0" encoding="utf-8"?>
<table xmlns="http://schemas.openxmlformats.org/spreadsheetml/2006/main" headerRowCount="0" ref="E1:G1" displayName="Table_1" name="Table_1" id="2">
  <tableColumns count="3">
    <tableColumn name="Column1" id="1"/>
    <tableColumn name="Column2" id="2"/>
    <tableColumn name="Column3" id="3"/>
  </tableColumns>
  <tableStyleInfo name="Справочник-style" showColumnStripes="0" showFirstColumn="1" showLastColumn="1" showRowStripes="1"/>
</table>
</file>

<file path=xl/tables/table3.xml><?xml version="1.0" encoding="utf-8"?>
<table xmlns="http://schemas.openxmlformats.org/spreadsheetml/2006/main" headerRowCount="0" ref="A5:G5" displayName="Table_2" name="Table_2" id="3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Справочник-style 2" showColumnStripes="0" showFirstColumn="1" showLastColumn="1" showRowStripes="1"/>
</table>
</file>

<file path=xl/tables/table4.xml><?xml version="1.0" encoding="utf-8"?>
<table xmlns="http://schemas.openxmlformats.org/spreadsheetml/2006/main" ref="A9:H189" displayName="Данные_по_фьючерсам" name="Данные_по_фьючерсам" id="4">
  <tableColumns count="8">
    <tableColumn name="Фьючерсный контракт" id="1"/>
    <tableColumn name="Фьючерсы на акции" id="2"/>
    <tableColumn name="Базовый актив" id="3"/>
    <tableColumn name="Объем лота" id="4"/>
    <tableColumn name="Дата экспирации" id="5"/>
    <tableColumn name="Код инструмента" id="6"/>
    <tableColumn name="Ссылка на инструмент" id="7"/>
    <tableColumn name="Актуальность" id="8"/>
  </tableColumns>
  <tableStyleInfo name="Справочник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3438"/>
      </a:dk1>
      <a:lt1>
        <a:srgbClr val="FFFFFF"/>
      </a:lt1>
      <a:dk2>
        <a:srgbClr val="1A3438"/>
      </a:dk2>
      <a:lt2>
        <a:srgbClr val="FFFFFF"/>
      </a:lt2>
      <a:accent1>
        <a:srgbClr val="D77659"/>
      </a:accent1>
      <a:accent2>
        <a:srgbClr val="AB4028"/>
      </a:accent2>
      <a:accent3>
        <a:srgbClr val="004552"/>
      </a:accent3>
      <a:accent4>
        <a:srgbClr val="457D7C"/>
      </a:accent4>
      <a:accent5>
        <a:srgbClr val="50A6A6"/>
      </a:accent5>
      <a:accent6>
        <a:srgbClr val="9BCCC6"/>
      </a:accent6>
      <a:hlink>
        <a:srgbClr val="34A870"/>
      </a:hlink>
      <a:folHlink>
        <a:srgbClr val="34A870"/>
      </a:folHlink>
    </a:clrScheme>
    <a:fontScheme name="Sheets">
      <a:majorFont>
        <a:latin typeface="Georgia"/>
        <a:ea typeface="Georgia"/>
        <a:cs typeface="Georgia"/>
      </a:majorFont>
      <a:minorFont>
        <a:latin typeface="Georgia"/>
        <a:ea typeface="Georgia"/>
        <a:cs typeface="Georgi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oex.com/ru/derivatives/equity/stocks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0" Type="http://schemas.openxmlformats.org/officeDocument/2006/relationships/drawing" Target="../drawings/drawing3.xml"/><Relationship Id="rId1" Type="http://schemas.openxmlformats.org/officeDocument/2006/relationships/pivotTable" Target="../pivotTables/pivotTable1.xml"/><Relationship Id="rId2" Type="http://schemas.openxmlformats.org/officeDocument/2006/relationships/hyperlink" Target="https://www.moex.com/ru/contract.aspx?code=CFZ5" TargetMode="External"/><Relationship Id="rId3" Type="http://schemas.openxmlformats.org/officeDocument/2006/relationships/hyperlink" Target="https://www.moex.com/ru/contract.aspx?code=TNZ5" TargetMode="External"/><Relationship Id="rId4" Type="http://schemas.openxmlformats.org/officeDocument/2006/relationships/hyperlink" Target="https://www.moex.com/ru/contract.aspx?code=TBZ5" TargetMode="External"/><Relationship Id="rId9" Type="http://schemas.openxmlformats.org/officeDocument/2006/relationships/hyperlink" Target="https://www.moex.com/ru/contract.aspx?code=MGZ5" TargetMode="External"/><Relationship Id="rId15" Type="http://schemas.openxmlformats.org/officeDocument/2006/relationships/table" Target="../tables/table3.xml"/><Relationship Id="rId14" Type="http://schemas.openxmlformats.org/officeDocument/2006/relationships/table" Target="../tables/table2.xml"/><Relationship Id="rId16" Type="http://schemas.openxmlformats.org/officeDocument/2006/relationships/table" Target="../tables/table4.xml"/><Relationship Id="rId5" Type="http://schemas.openxmlformats.org/officeDocument/2006/relationships/hyperlink" Target="https://www.moex.com/ru/contract.aspx?code=SRZ5" TargetMode="External"/><Relationship Id="rId6" Type="http://schemas.openxmlformats.org/officeDocument/2006/relationships/hyperlink" Target="https://www.moex.com/ru/contract.aspx?code=NCZ5" TargetMode="External"/><Relationship Id="rId7" Type="http://schemas.openxmlformats.org/officeDocument/2006/relationships/hyperlink" Target="https://www.moex.com/ru/contract.aspx?code=MMZ5" TargetMode="External"/><Relationship Id="rId8" Type="http://schemas.openxmlformats.org/officeDocument/2006/relationships/hyperlink" Target="https://www.moex.com/ru/contract.aspx?code=MYZ5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FC5E8"/>
    <outlinePr summaryBelow="0" summaryRight="0"/>
  </sheetPr>
  <sheetViews>
    <sheetView showGridLines="0"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 outlineLevelCol="1"/>
  <cols>
    <col customWidth="1" min="1" max="1" width="34.5"/>
    <col customWidth="1" min="2" max="2" width="17.25"/>
    <col customWidth="1" min="3" max="3" width="13.75"/>
    <col collapsed="1" customWidth="1" min="4" max="4" width="15.88"/>
    <col customWidth="1" hidden="1" min="5" max="5" width="22.0" outlineLevel="1"/>
    <col customWidth="1" min="6" max="6" width="13.0"/>
    <col customWidth="1" min="7" max="7" width="11.63"/>
    <col customWidth="1" min="8" max="8" width="15.0"/>
    <col customWidth="1" min="10" max="10" width="14.5"/>
    <col customWidth="1" min="11" max="11" width="16.88"/>
    <col customWidth="1" min="12" max="12" width="13.5"/>
    <col customWidth="1" min="13" max="13" width="12.63"/>
    <col collapsed="1" customWidth="1" min="14" max="14" width="14.88"/>
    <col customWidth="1" hidden="1" min="15" max="15" width="13.38" outlineLevel="1"/>
    <col customWidth="1" min="16" max="17" width="13.3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3" t="s">
        <v>6</v>
      </c>
      <c r="H1" s="6" t="s">
        <v>7</v>
      </c>
      <c r="I1" s="7" t="s">
        <v>8</v>
      </c>
      <c r="J1" s="7" t="s">
        <v>9</v>
      </c>
      <c r="K1" s="7" t="s">
        <v>10</v>
      </c>
      <c r="L1" s="8" t="s">
        <v>11</v>
      </c>
      <c r="M1" s="8" t="s">
        <v>12</v>
      </c>
      <c r="N1" s="9" t="s">
        <v>13</v>
      </c>
      <c r="O1" s="10" t="s">
        <v>14</v>
      </c>
      <c r="P1" s="11"/>
      <c r="Q1" s="11"/>
    </row>
    <row r="2">
      <c r="A2" s="12" t="str">
        <f>IFERROR(__xludf.DUMMYFUNCTION("FILTER(Данные_по_фьючерсам[Фьючерсный контракт], Данные_по_фьючерсам[Фьючерсы на акции] = B2)"),"Фьючерсный контракт на обыкновенные акции ПАО ""Аэрофлот""")</f>
        <v>Фьючерсный контракт на обыкновенные акции ПАО "Аэрофлот"</v>
      </c>
      <c r="B2" s="13" t="s">
        <v>15</v>
      </c>
      <c r="C2" s="14" t="str">
        <f>IFERROR(__xludf.DUMMYFUNCTION("FILTER(Данные_по_фьючерсам[Код инструмента], Данные_по_фьючерсам[Фьючерсы на акции] = B2)"),"AFZ5")</f>
        <v>AFZ5</v>
      </c>
      <c r="D2" s="15" t="str">
        <f>IFERROR(__xludf.DUMMYFUNCTION("FILTER(Данные_по_фьючерсам[Ссылка на инструмент], Данные_по_фьючерсам[Фьючерсы на акции] = B2)"),"https://www.moex.com/ru/contract.aspx?code=AFZ5")</f>
        <v>https://www.moex.com/ru/contract.aspx?code=AFZ5</v>
      </c>
      <c r="E2" s="16" t="str">
        <f>IFERROR(__xludf.DUMMYFUNCTION("FILTER('Фьючерсы на акции'!$B$4:$B30, 'Фьючерсы на акции'!$A$4:$A30 = B2)"),"5 169")</f>
        <v>5 169</v>
      </c>
      <c r="F2" s="17">
        <f>IFERROR(__xludf.DUMMYFUNCTION("IF(ISNUMBER(E2),E2,VALUE(REGEXREPLACE(REGEXREPLACE(E2,"" "",""""),"","",""."")))"),5169.0)</f>
        <v>5169</v>
      </c>
      <c r="G2" s="18">
        <f>IFERROR(__xludf.DUMMYFUNCTION("FILTER(Данные_по_фьючерсам[Объем лота], Данные_по_фьючерсам[Фьючерсы на акции] = B2)"),100.0)</f>
        <v>100</v>
      </c>
      <c r="H2" s="19">
        <f>IFERROR(__xludf.DUMMYFUNCTION("FILTER(Данные_по_фьючерсам[Дата экспирации], Данные_по_фьючерсам[Фьючерсы на акции] = B2)"),46010.0)</f>
        <v>46010</v>
      </c>
      <c r="I2" s="20" t="str">
        <f>IFERROR(__xludf.DUMMYFUNCTION("FILTER(Данные_по_фьючерсам[Базовый актив], Данные_по_фьючерсам[Фьючерсы на акции] = B2)"),"AFLT")</f>
        <v>AFLT</v>
      </c>
      <c r="J2" s="21">
        <f>IFERROR(__xludf.DUMMYFUNCTION("IMPORTxml(""https://iss.moex.com/iss/engines/stock/markets/shares/boards/TQBR/securities.xml?iss.meta=off&amp;iss.only=marketdata&amp;marketdata.columns=SECID,LAST"", concatenate(""//row[@SECID='"",$I2,""']/@LAST""))"),50.25)</f>
        <v>50.25</v>
      </c>
      <c r="K2" s="22" t="str">
        <f t="shared" ref="K2:K28" si="1">CONCATENATE("https://www.moex.com/ru/issue.aspx?board=TQBR&amp;code=",I2)</f>
        <v>https://www.moex.com/ru/issue.aspx?board=TQBR&amp;code=AFLT</v>
      </c>
      <c r="L2" s="23">
        <f t="shared" ref="L2:L28" si="2">(F2/G2-J2)/J2</f>
        <v>0.02865671642</v>
      </c>
      <c r="M2" s="24">
        <f>'Справочник'!$L$4/365*(H2-TODAY())</f>
        <v>0.03506849315</v>
      </c>
      <c r="N2" s="25">
        <f t="shared" ref="N2:N28" si="3">O2</f>
        <v>-0.006411776733</v>
      </c>
      <c r="O2" s="26">
        <f t="shared" ref="O2:O28" si="4">L2-M2</f>
        <v>-0.006411776733</v>
      </c>
      <c r="P2" s="27"/>
      <c r="Q2" s="27"/>
    </row>
    <row r="3">
      <c r="A3" s="28" t="str">
        <f>IFERROR(__xludf.DUMMYFUNCTION("FILTER(Данные_по_фьючерсам[Фьючерсный контракт], Данные_по_фьючерсам[Фьючерсы на акции] = B3)"),"Фьючерсный контракт на обыкновенные акции АК ""АЛРОСА""")</f>
        <v>Фьючерсный контракт на обыкновенные акции АК "АЛРОСА"</v>
      </c>
      <c r="B3" s="29" t="s">
        <v>16</v>
      </c>
      <c r="C3" s="30" t="str">
        <f>IFERROR(__xludf.DUMMYFUNCTION("FILTER(Данные_по_фьючерсам[Код инструмента], Данные_по_фьючерсам[Фьючерсы на акции] = B3)"),"ALZ5")</f>
        <v>ALZ5</v>
      </c>
      <c r="D3" s="31" t="str">
        <f>IFERROR(__xludf.DUMMYFUNCTION("FILTER(Данные_по_фьючерсам[Ссылка на инструмент], Данные_по_фьючерсам[Фьючерсы на акции] = B3)"),"https://www.moex.com/ru/contract.aspx?code=ALZ5")</f>
        <v>https://www.moex.com/ru/contract.aspx?code=ALZ5</v>
      </c>
      <c r="E3" s="32" t="str">
        <f>IFERROR(__xludf.DUMMYFUNCTION("FILTER('Фьючерсы на акции'!$B$4:$B30, 'Фьючерсы на акции'!$A$4:$A30 = B3)"),"4 111")</f>
        <v>4 111</v>
      </c>
      <c r="F3" s="33">
        <f>IFERROR(__xludf.DUMMYFUNCTION("IF(ISNUMBER(E3),E3,VALUE(REGEXREPLACE(REGEXREPLACE(E3,"" "",""""),"","",""."")))"),4111.0)</f>
        <v>4111</v>
      </c>
      <c r="G3" s="34">
        <f>IFERROR(__xludf.DUMMYFUNCTION("FILTER(Данные_по_фьючерсам[Объем лота], Данные_по_фьючерсам[Фьючерсы на акции] = B3)"),100.0)</f>
        <v>100</v>
      </c>
      <c r="H3" s="35">
        <f>IFERROR(__xludf.DUMMYFUNCTION("FILTER(Данные_по_фьючерсам[Дата экспирации], Данные_по_фьючерсам[Фьючерсы на акции] = B3)"),46010.0)</f>
        <v>46010</v>
      </c>
      <c r="I3" s="36" t="str">
        <f>IFERROR(__xludf.DUMMYFUNCTION("FILTER(Данные_по_фьючерсам[Базовый актив], Данные_по_фьючерсам[Фьючерсы на акции] = B3)"),"ALRS")</f>
        <v>ALRS</v>
      </c>
      <c r="J3" s="37">
        <f>IFERROR(__xludf.DUMMYFUNCTION("IMPORTxml(""https://iss.moex.com/iss/engines/stock/markets/shares/boards/TQBR/securities.xml?iss.meta=off&amp;iss.only=marketdata&amp;marketdata.columns=SECID,LAST"", concatenate(""//row[@SECID='"",$I3,""']/@LAST""))"),39.84)</f>
        <v>39.84</v>
      </c>
      <c r="K3" s="38" t="str">
        <f t="shared" si="1"/>
        <v>https://www.moex.com/ru/issue.aspx?board=TQBR&amp;code=ALRS</v>
      </c>
      <c r="L3" s="39">
        <f t="shared" si="2"/>
        <v>0.03187751004</v>
      </c>
      <c r="M3" s="40">
        <f>'Справочник'!$L$4/365*(H3-TODAY())</f>
        <v>0.03506849315</v>
      </c>
      <c r="N3" s="41">
        <f t="shared" si="3"/>
        <v>-0.003190983111</v>
      </c>
      <c r="O3" s="42">
        <f t="shared" si="4"/>
        <v>-0.003190983111</v>
      </c>
      <c r="P3" s="27"/>
      <c r="Q3" s="27"/>
    </row>
    <row r="4">
      <c r="A4" s="12" t="str">
        <f>IFERROR(__xludf.DUMMYFUNCTION("FILTER(Данные_по_фьючерсам[Фьючерсный контракт], Данные_по_фьючерсам[Фьючерсы на акции] = B4)"),"Фьючерсный контракт на инвестиционные паи DJ Industrial Average ETF Trust")</f>
        <v>Фьючерсный контракт на инвестиционные паи DJ Industrial Average ETF Trust</v>
      </c>
      <c r="B4" s="13" t="s">
        <v>17</v>
      </c>
      <c r="C4" s="43" t="str">
        <f>IFERROR(__xludf.DUMMYFUNCTION("FILTER(Данные_по_фьючерсам[Код инструмента], Данные_по_фьючерсам[Фьючерсы на акции] = B4)"),"DJZ5")</f>
        <v>DJZ5</v>
      </c>
      <c r="D4" s="15" t="str">
        <f>IFERROR(__xludf.DUMMYFUNCTION("FILTER(Данные_по_фьючерсам[Ссылка на инструмент], Данные_по_фьючерсам[Фьючерсы на акции] = B4)"),"https://www.moex.com/ru/contract.aspx?code=DJZ5")</f>
        <v>https://www.moex.com/ru/contract.aspx?code=DJZ5</v>
      </c>
      <c r="E4" s="16" t="str">
        <f>IFERROR(__xludf.DUMMYFUNCTION("FILTER('Фьючерсы на акции'!$B$4:$B30, 'Фьючерсы на акции'!$A$4:$A30 = B4)"),"#N/A")</f>
        <v>#N/A</v>
      </c>
      <c r="F4" s="17" t="str">
        <f>IFERROR(__xludf.DUMMYFUNCTION("IF(ISNUMBER(E4),E4,VALUE(REGEXREPLACE(REGEXREPLACE(E4,"" "",""""),"","",""."")))"),"#N/A")</f>
        <v>#N/A</v>
      </c>
      <c r="G4" s="44">
        <f>IFERROR(__xludf.DUMMYFUNCTION("FILTER(Данные_по_фьючерсам[Объем лота], Данные_по_фьючерсам[Фьючерсы на акции] = B4)"),1.0)</f>
        <v>1</v>
      </c>
      <c r="H4" s="45">
        <f>IFERROR(__xludf.DUMMYFUNCTION("FILTER(Данные_по_фьючерсам[Дата экспирации], Данные_по_фьючерсам[Фьючерсы на акции] = B4)"),46010.0)</f>
        <v>46010</v>
      </c>
      <c r="I4" s="20" t="str">
        <f>IFERROR(__xludf.DUMMYFUNCTION("FILTER(Данные_по_фьючерсам[Базовый актив], Данные_по_фьючерсам[Фьючерсы на акции] = B4)"),"DJ30")</f>
        <v>DJ30</v>
      </c>
      <c r="J4" s="46" t="str">
        <f>IFERROR(__xludf.DUMMYFUNCTION("IMPORTxml(""https://iss.moex.com/iss/engines/stock/markets/shares/boards/TQBR/securities.xml?iss.meta=off&amp;iss.only=marketdata&amp;marketdata.columns=SECID,LAST"", concatenate(""//row[@SECID='"",$I4,""']/@LAST""))"),"#N/A")</f>
        <v>#N/A</v>
      </c>
      <c r="K4" s="22" t="str">
        <f t="shared" si="1"/>
        <v>https://www.moex.com/ru/issue.aspx?board=TQBR&amp;code=DJ30</v>
      </c>
      <c r="L4" s="23" t="str">
        <f t="shared" si="2"/>
        <v>#N/A</v>
      </c>
      <c r="M4" s="24">
        <f>'Справочник'!$L$4/365*(H4-TODAY())</f>
        <v>0.03506849315</v>
      </c>
      <c r="N4" s="25" t="str">
        <f t="shared" si="3"/>
        <v>#N/A</v>
      </c>
      <c r="O4" s="26" t="str">
        <f t="shared" si="4"/>
        <v>#N/A</v>
      </c>
      <c r="P4" s="47"/>
      <c r="Q4" s="47"/>
    </row>
    <row r="5">
      <c r="A5" s="28" t="str">
        <f>IFERROR(__xludf.DUMMYFUNCTION("FILTER(Данные_по_фьючерсам[Фьючерсный контракт], Данные_по_фьючерсам[Фьючерсы на акции] = B5)"),"Фьючерсный контракт на обыкновенные акции ПАО ""НоваБев Групп""")</f>
        <v>Фьючерсный контракт на обыкновенные акции ПАО "НоваБев Групп"</v>
      </c>
      <c r="B5" s="29" t="s">
        <v>18</v>
      </c>
      <c r="C5" s="30" t="str">
        <f>IFERROR(__xludf.DUMMYFUNCTION("FILTER(Данные_по_фьючерсам[Код инструмента], Данные_по_фьючерсам[Фьючерсы на акции] = B5)"),"NBZ5")</f>
        <v>NBZ5</v>
      </c>
      <c r="D5" s="31" t="str">
        <f>IFERROR(__xludf.DUMMYFUNCTION("FILTER(Данные_по_фьючерсам[Ссылка на инструмент], Данные_по_фьючерсам[Фьючерсы на акции] = B5)"),"https://www.moex.com/ru/contract.aspx?code=NBZ5")</f>
        <v>https://www.moex.com/ru/contract.aspx?code=NBZ5</v>
      </c>
      <c r="E5" s="32">
        <f>IFERROR(__xludf.DUMMYFUNCTION("FILTER('Фьючерсы на акции'!$B$4:$B30, 'Фьючерсы на акции'!$A$4:$A30 = B5)"),386.0)</f>
        <v>386</v>
      </c>
      <c r="F5" s="33">
        <f>IFERROR(__xludf.DUMMYFUNCTION("IF(ISNUMBER(E5),E5,VALUE(REGEXREPLACE(REGEXREPLACE(E5,"" "",""""),"","",""."")))"),386.0)</f>
        <v>386</v>
      </c>
      <c r="G5" s="34">
        <f>IFERROR(__xludf.DUMMYFUNCTION("FILTER(Данные_по_фьючерсам[Объем лота], Данные_по_фьючерсам[Фьючерсы на акции] = B5)"),1.0)</f>
        <v>1</v>
      </c>
      <c r="H5" s="35">
        <f>IFERROR(__xludf.DUMMYFUNCTION("FILTER(Данные_по_фьючерсам[Дата экспирации], Данные_по_фьючерсам[Фьючерсы на акции] = B5)"),46010.0)</f>
        <v>46010</v>
      </c>
      <c r="I5" s="36" t="str">
        <f>IFERROR(__xludf.DUMMYFUNCTION("FILTER(Данные_по_фьючерсам[Базовый актив], Данные_по_фьючерсам[Фьючерсы на акции] = B5)"),"BELU")</f>
        <v>BELU</v>
      </c>
      <c r="J5" s="37">
        <f>IFERROR(__xludf.DUMMYFUNCTION("IMPORTxml(""https://iss.moex.com/iss/engines/stock/markets/shares/boards/TQBR/securities.xml?iss.meta=off&amp;iss.only=marketdata&amp;marketdata.columns=SECID,LAST"", concatenate(""//row[@SECID='"",$I5,""']/@LAST""))"),390.0)</f>
        <v>390</v>
      </c>
      <c r="K5" s="38" t="str">
        <f t="shared" si="1"/>
        <v>https://www.moex.com/ru/issue.aspx?board=TQBR&amp;code=BELU</v>
      </c>
      <c r="L5" s="39">
        <f t="shared" si="2"/>
        <v>-0.01025641026</v>
      </c>
      <c r="M5" s="40">
        <f>'Справочник'!$L$4/365*(H5-TODAY())</f>
        <v>0.03506849315</v>
      </c>
      <c r="N5" s="41">
        <f t="shared" si="3"/>
        <v>-0.04532490341</v>
      </c>
      <c r="O5" s="42">
        <f t="shared" si="4"/>
        <v>-0.04532490341</v>
      </c>
      <c r="P5" s="47"/>
      <c r="Q5" s="47"/>
    </row>
    <row r="6">
      <c r="A6" s="12" t="str">
        <f>IFERROR(__xludf.DUMMYFUNCTION("FILTER(Данные_по_фьючерсам[Фьючерсный контракт], Данные_по_фьючерсам[Фьючерсы на акции] = B6)"),"Фьючерсный контракт на обыкновенные акции ПАО «Банк «Санкт-Петербург»")</f>
        <v>Фьючерсный контракт на обыкновенные акции ПАО «Банк «Санкт-Петербург»</v>
      </c>
      <c r="B6" s="13" t="s">
        <v>19</v>
      </c>
      <c r="C6" s="43" t="str">
        <f>IFERROR(__xludf.DUMMYFUNCTION("FILTER(Данные_по_фьючерсам[Код инструмента], Данные_по_фьючерсам[Фьючерсы на акции] = B6)"),"BSZ5")</f>
        <v>BSZ5</v>
      </c>
      <c r="D6" s="15" t="str">
        <f>IFERROR(__xludf.DUMMYFUNCTION("FILTER(Данные_по_фьючерсам[Ссылка на инструмент], Данные_по_фьючерсам[Фьючерсы на акции] = B6)"),"https://www.moex.com/ru/contract.aspx?code=BSZ5")</f>
        <v>https://www.moex.com/ru/contract.aspx?code=BSZ5</v>
      </c>
      <c r="E6" s="16" t="str">
        <f>IFERROR(__xludf.DUMMYFUNCTION("FILTER('Фьючерсы на акции'!$B$4:$B30, 'Фьючерсы на акции'!$A$4:$A30 = B6)"),"3 391")</f>
        <v>3 391</v>
      </c>
      <c r="F6" s="17">
        <f>IFERROR(__xludf.DUMMYFUNCTION("IF(ISNUMBER(E6),E6,VALUE(REGEXREPLACE(REGEXREPLACE(E6,"" "",""""),"","",""."")))"),3391.0)</f>
        <v>3391</v>
      </c>
      <c r="G6" s="44">
        <f>IFERROR(__xludf.DUMMYFUNCTION("FILTER(Данные_по_фьючерсам[Объем лота], Данные_по_фьючерсам[Фьючерсы на акции] = B6)"),10.0)</f>
        <v>10</v>
      </c>
      <c r="H6" s="45">
        <f>IFERROR(__xludf.DUMMYFUNCTION("FILTER(Данные_по_фьючерсам[Дата экспирации], Данные_по_фьючерсам[Фьючерсы на акции] = B6)"),46010.0)</f>
        <v>46010</v>
      </c>
      <c r="I6" s="20" t="str">
        <f>IFERROR(__xludf.DUMMYFUNCTION("FILTER(Данные_по_фьючерсам[Базовый актив], Данные_по_фьючерсам[Фьючерсы на акции] = B6)"),"BSPB")</f>
        <v>BSPB</v>
      </c>
      <c r="J6" s="21">
        <f>IFERROR(__xludf.DUMMYFUNCTION("IMPORTxml(""https://iss.moex.com/iss/engines/stock/markets/shares/boards/TQBR/securities.xml?iss.meta=off&amp;iss.only=marketdata&amp;marketdata.columns=SECID,LAST"", concatenate(""//row[@SECID='"",$I6,""']/@LAST""))"),327.9)</f>
        <v>327.9</v>
      </c>
      <c r="K6" s="22" t="str">
        <f t="shared" si="1"/>
        <v>https://www.moex.com/ru/issue.aspx?board=TQBR&amp;code=BSPB</v>
      </c>
      <c r="L6" s="23">
        <f t="shared" si="2"/>
        <v>0.03415675511</v>
      </c>
      <c r="M6" s="24">
        <f>'Справочник'!$L$4/365*(H6-TODAY())</f>
        <v>0.03506849315</v>
      </c>
      <c r="N6" s="25">
        <f t="shared" si="3"/>
        <v>-0.0009117380424</v>
      </c>
      <c r="O6" s="26">
        <f t="shared" si="4"/>
        <v>-0.0009117380424</v>
      </c>
      <c r="P6" s="27"/>
      <c r="Q6" s="27"/>
    </row>
    <row r="7">
      <c r="A7" s="28" t="str">
        <f>IFERROR(__xludf.DUMMYFUNCTION("FILTER(Данные_по_фьючерсам[Фьючерсный контракт], Данные_по_фьючерсам[Фьючерсы на акции] = B7)"),"Фьючерсный контракт на обыкновенные акции ПАО «Северсталь»")</f>
        <v>Фьючерсный контракт на обыкновенные акции ПАО «Северсталь»</v>
      </c>
      <c r="B7" s="29" t="s">
        <v>20</v>
      </c>
      <c r="C7" s="30" t="str">
        <f>IFERROR(__xludf.DUMMYFUNCTION("FILTER(Данные_по_фьючерсам[Код инструмента], Данные_по_фьючерсам[Фьючерсы на акции] = B7)"),"CHZ5")</f>
        <v>CHZ5</v>
      </c>
      <c r="D7" s="31" t="str">
        <f>IFERROR(__xludf.DUMMYFUNCTION("FILTER(Данные_по_фьючерсам[Ссылка на инструмент], Данные_по_фьючерсам[Фьючерсы на акции] = B7)"),"https://www.moex.com/ru/contract.aspx?code=CHZ5")</f>
        <v>https://www.moex.com/ru/contract.aspx?code=CHZ5</v>
      </c>
      <c r="E7" s="32" t="str">
        <f>IFERROR(__xludf.DUMMYFUNCTION("FILTER('Фьючерсы на акции'!$B$4:$B30, 'Фьючерсы на акции'!$A$4:$A30 = B7)"),"90 297")</f>
        <v>90 297</v>
      </c>
      <c r="F7" s="33">
        <f>IFERROR(__xludf.DUMMYFUNCTION("IF(ISNUMBER(E7),E7,VALUE(REGEXREPLACE(REGEXREPLACE(E7,"" "",""""),"","",""."")))"),90297.0)</f>
        <v>90297</v>
      </c>
      <c r="G7" s="34">
        <f>IFERROR(__xludf.DUMMYFUNCTION("FILTER(Данные_по_фьючерсам[Объем лота], Данные_по_фьючерсам[Фьючерсы на акции] = B7)"),100.0)</f>
        <v>100</v>
      </c>
      <c r="H7" s="35">
        <f>IFERROR(__xludf.DUMMYFUNCTION("FILTER(Данные_по_фьючерсам[Дата экспирации], Данные_по_фьючерсам[Фьючерсы на акции] = B7)"),46010.0)</f>
        <v>46010</v>
      </c>
      <c r="I7" s="36" t="str">
        <f>IFERROR(__xludf.DUMMYFUNCTION("FILTER(Данные_по_фьючерсам[Базовый актив], Данные_по_фьючерсам[Фьючерсы на акции] = B7)"),"CHMF")</f>
        <v>CHMF</v>
      </c>
      <c r="J7" s="48">
        <f>IFERROR(__xludf.DUMMYFUNCTION("IMPORTxml(""https://iss.moex.com/iss/engines/stock/markets/shares/boards/TQBR/securities.xml?iss.meta=off&amp;iss.only=marketdata&amp;marketdata.columns=SECID,LAST"", concatenate(""//row[@SECID='"",$I7,""']/@LAST""))"),876.2)</f>
        <v>876.2</v>
      </c>
      <c r="K7" s="38" t="str">
        <f t="shared" si="1"/>
        <v>https://www.moex.com/ru/issue.aspx?board=TQBR&amp;code=CHMF</v>
      </c>
      <c r="L7" s="39">
        <f t="shared" si="2"/>
        <v>0.0305523853</v>
      </c>
      <c r="M7" s="40">
        <f>'Справочник'!$L$4/365*(H7-TODAY())</f>
        <v>0.03506849315</v>
      </c>
      <c r="N7" s="41">
        <f t="shared" si="3"/>
        <v>-0.004516107851</v>
      </c>
      <c r="O7" s="42">
        <f t="shared" si="4"/>
        <v>-0.004516107851</v>
      </c>
      <c r="P7" s="27"/>
      <c r="Q7" s="27"/>
    </row>
    <row r="8">
      <c r="A8" s="12" t="str">
        <f>IFERROR(__xludf.DUMMYFUNCTION("FILTER(Данные_по_фьючерсам[Фьючерсный контракт], Данные_по_фьючерсам[Фьючерсы на акции] = B8)"),"Фьючерсный контракт на обыкновенные акции ПАО «Федеральная сетевая 
компания-Россети»")</f>
        <v>Фьючерсный контракт на обыкновенные акции ПАО «Федеральная сетевая 
компания-Россети»</v>
      </c>
      <c r="B8" s="13" t="s">
        <v>21</v>
      </c>
      <c r="C8" s="43" t="str">
        <f>IFERROR(__xludf.DUMMYFUNCTION("FILTER(Данные_по_фьючерсам[Код инструмента], Данные_по_фьючерсам[Фьючерсы на акции] = B8)"),"FSZ5")</f>
        <v>FSZ5</v>
      </c>
      <c r="D8" s="15" t="str">
        <f>IFERROR(__xludf.DUMMYFUNCTION("FILTER(Данные_по_фьючерсам[Ссылка на инструмент], Данные_по_фьючерсам[Фьючерсы на акции] = B8)"),"https://www.moex.com/ru/contract.aspx?code=FSZ5")</f>
        <v>https://www.moex.com/ru/contract.aspx?code=FSZ5</v>
      </c>
      <c r="E8" s="16" t="str">
        <f>IFERROR(__xludf.DUMMYFUNCTION("FILTER('Фьючерсы на акции'!$B$4:$B30, 'Фьючерсы на акции'!$A$4:$A30 = B8)"),"6 445")</f>
        <v>6 445</v>
      </c>
      <c r="F8" s="17">
        <f>IFERROR(__xludf.DUMMYFUNCTION("IF(ISNUMBER(E8),E8,VALUE(REGEXREPLACE(REGEXREPLACE(E8,"" "",""""),"","",""."")))"),6445.0)</f>
        <v>6445</v>
      </c>
      <c r="G8" s="44">
        <f>IFERROR(__xludf.DUMMYFUNCTION("FILTER(Данные_по_фьючерсам[Объем лота], Данные_по_фьючерсам[Фьючерсы на акции] = B8)"),100000.0)</f>
        <v>100000</v>
      </c>
      <c r="H8" s="45">
        <f>IFERROR(__xludf.DUMMYFUNCTION("FILTER(Данные_по_фьючерсам[Дата экспирации], Данные_по_фьючерсам[Фьючерсы на акции] = B8)"),46010.0)</f>
        <v>46010</v>
      </c>
      <c r="I8" s="20" t="str">
        <f>IFERROR(__xludf.DUMMYFUNCTION("FILTER(Данные_по_фьючерсам[Базовый актив], Данные_по_фьючерсам[Фьючерсы на акции] = B8)"),"FEES")</f>
        <v>FEES</v>
      </c>
      <c r="J8" s="46">
        <f>IFERROR(__xludf.DUMMYFUNCTION("IMPORTxml(""https://iss.moex.com/iss/engines/stock/markets/shares/boards/TQBR/securities.xml?iss.meta=off&amp;iss.only=marketdata&amp;marketdata.columns=SECID,LAST"", concatenate(""//row[@SECID='"",$I8,""']/@LAST""))"),0.06254)</f>
        <v>0.06254</v>
      </c>
      <c r="K8" s="22" t="str">
        <f t="shared" si="1"/>
        <v>https://www.moex.com/ru/issue.aspx?board=TQBR&amp;code=FEES</v>
      </c>
      <c r="L8" s="23">
        <f t="shared" si="2"/>
        <v>0.03054045411</v>
      </c>
      <c r="M8" s="24">
        <f>'Справочник'!$L$4/365*(H8-TODAY())</f>
        <v>0.03506849315</v>
      </c>
      <c r="N8" s="25">
        <f t="shared" si="3"/>
        <v>-0.004528039041</v>
      </c>
      <c r="O8" s="26">
        <f t="shared" si="4"/>
        <v>-0.004528039041</v>
      </c>
      <c r="P8" s="47"/>
      <c r="Q8" s="47"/>
    </row>
    <row r="9">
      <c r="A9" s="28" t="str">
        <f>IFERROR(__xludf.DUMMYFUNCTION("FILTER(Данные_по_фьючерсам[Фьючерсный контракт], Данные_по_фьючерсам[Фьючерсы на акции] = B9)"),"Фьючерсный контракт на обыкновенные акции ПАО «Газпром»")</f>
        <v>Фьючерсный контракт на обыкновенные акции ПАО «Газпром»</v>
      </c>
      <c r="B9" s="29" t="s">
        <v>22</v>
      </c>
      <c r="C9" s="30" t="str">
        <f>IFERROR(__xludf.DUMMYFUNCTION("FILTER(Данные_по_фьючерсам[Код инструмента], Данные_по_фьючерсам[Фьючерсы на акции] = B9)"),"GZZ5")</f>
        <v>GZZ5</v>
      </c>
      <c r="D9" s="31" t="str">
        <f>IFERROR(__xludf.DUMMYFUNCTION("FILTER(Данные_по_фьючерсам[Ссылка на инструмент], Данные_по_фьючерсам[Фьючерсы на акции] = B9)"),"https://www.moex.com/ru/contract.aspx?code=GZZ5")</f>
        <v>https://www.moex.com/ru/contract.aspx?code=GZZ5</v>
      </c>
      <c r="E9" s="32" t="str">
        <f>IFERROR(__xludf.DUMMYFUNCTION("FILTER('Фьючерсы на акции'!$B$4:$B30, 'Фьючерсы на акции'!$A$4:$A30 = B9)"),"11 899")</f>
        <v>11 899</v>
      </c>
      <c r="F9" s="33">
        <f>IFERROR(__xludf.DUMMYFUNCTION("IF(ISNUMBER(E9),E9,VALUE(REGEXREPLACE(REGEXREPLACE(E9,"" "",""""),"","",""."")))"),11899.0)</f>
        <v>11899</v>
      </c>
      <c r="G9" s="34">
        <f>IFERROR(__xludf.DUMMYFUNCTION("FILTER(Данные_по_фьючерсам[Объем лота], Данные_по_фьючерсам[Фьючерсы на акции] = B9)"),100.0)</f>
        <v>100</v>
      </c>
      <c r="H9" s="35">
        <f>IFERROR(__xludf.DUMMYFUNCTION("FILTER(Данные_по_фьючерсам[Дата экспирации], Данные_по_фьючерсам[Фьючерсы на акции] = B9)"),46010.0)</f>
        <v>46010</v>
      </c>
      <c r="I9" s="36" t="str">
        <f>IFERROR(__xludf.DUMMYFUNCTION("FILTER(Данные_по_фьючерсам[Базовый актив], Данные_по_фьючерсам[Фьючерсы на акции] = B9)"),"GAZP")</f>
        <v>GAZP</v>
      </c>
      <c r="J9" s="37">
        <f>IFERROR(__xludf.DUMMYFUNCTION("IMPORTxml(""https://iss.moex.com/iss/engines/stock/markets/shares/boards/TQBR/securities.xml?iss.meta=off&amp;iss.only=marketdata&amp;marketdata.columns=SECID,LAST"", concatenate(""//row[@SECID='"",$I9,""']/@LAST""))"),115.47)</f>
        <v>115.47</v>
      </c>
      <c r="K9" s="38" t="str">
        <f t="shared" si="1"/>
        <v>https://www.moex.com/ru/issue.aspx?board=TQBR&amp;code=GAZP</v>
      </c>
      <c r="L9" s="39">
        <f t="shared" si="2"/>
        <v>0.03048410843</v>
      </c>
      <c r="M9" s="40">
        <f>'Справочник'!$L$4/365*(H9-TODAY())</f>
        <v>0.03506849315</v>
      </c>
      <c r="N9" s="41">
        <f t="shared" si="3"/>
        <v>-0.004584384724</v>
      </c>
      <c r="O9" s="42">
        <f t="shared" si="4"/>
        <v>-0.004584384724</v>
      </c>
      <c r="P9" s="27"/>
      <c r="Q9" s="27"/>
    </row>
    <row r="10">
      <c r="A10" s="12" t="str">
        <f>IFERROR(__xludf.DUMMYFUNCTION("FILTER(Данные_по_фьючерсам[Фьючерсный контракт], Данные_по_фьючерсам[Фьючерсы на акции] = B10)"),"Фьючерсный контракт на обыкновенные акции ПАО «НК «ЛУКОЙЛ»")</f>
        <v>Фьючерсный контракт на обыкновенные акции ПАО «НК «ЛУКОЙЛ»</v>
      </c>
      <c r="B10" s="13" t="s">
        <v>23</v>
      </c>
      <c r="C10" s="43" t="str">
        <f>IFERROR(__xludf.DUMMYFUNCTION("FILTER(Данные_по_фьючерсам[Код инструмента], Данные_по_фьючерсам[Фьючерсы на акции] = B10)"),"LKZ5")</f>
        <v>LKZ5</v>
      </c>
      <c r="D10" s="15" t="str">
        <f>IFERROR(__xludf.DUMMYFUNCTION("FILTER(Данные_по_фьючерсам[Ссылка на инструмент], Данные_по_фьючерсам[Фьючерсы на акции] = B10)"),"https://www.moex.com/ru/contract.aspx?code=LKZ5")</f>
        <v>https://www.moex.com/ru/contract.aspx?code=LKZ5</v>
      </c>
      <c r="E10" s="16" t="str">
        <f>IFERROR(__xludf.DUMMYFUNCTION("FILTER('Фьючерсы на акции'!$B$4:$B30, 'Фьючерсы на акции'!$A$4:$A30 = B10)"),"58 267")</f>
        <v>58 267</v>
      </c>
      <c r="F10" s="17">
        <f>IFERROR(__xludf.DUMMYFUNCTION("IF(ISNUMBER(E10),E10,VALUE(REGEXREPLACE(REGEXREPLACE(E10,"" "",""""),"","",""."")))"),58267.0)</f>
        <v>58267</v>
      </c>
      <c r="G10" s="44">
        <f>IFERROR(__xludf.DUMMYFUNCTION("FILTER(Данные_по_фьючерсам[Объем лота], Данные_по_фьючерсам[Фьючерсы на акции] = B10)"),10.0)</f>
        <v>10</v>
      </c>
      <c r="H10" s="45">
        <f>IFERROR(__xludf.DUMMYFUNCTION("FILTER(Данные_по_фьючерсам[Дата экспирации], Данные_по_фьючерсам[Фьючерсы на акции] = B10)"),46010.0)</f>
        <v>46010</v>
      </c>
      <c r="I10" s="20" t="str">
        <f>IFERROR(__xludf.DUMMYFUNCTION("FILTER(Данные_по_фьючерсам[Базовый актив], Данные_по_фьючерсам[Фьючерсы на акции] = B10)"),"LKOH")</f>
        <v>LKOH</v>
      </c>
      <c r="J10" s="46">
        <f>IFERROR(__xludf.DUMMYFUNCTION("IMPORTxml(""https://iss.moex.com/iss/engines/stock/markets/shares/boards/TQBR/securities.xml?iss.meta=off&amp;iss.only=marketdata&amp;marketdata.columns=SECID,LAST"", concatenate(""//row[@SECID='"",$I10,""']/@LAST""))"),5846.5)</f>
        <v>5846.5</v>
      </c>
      <c r="K10" s="22" t="str">
        <f t="shared" si="1"/>
        <v>https://www.moex.com/ru/issue.aspx?board=TQBR&amp;code=LKOH</v>
      </c>
      <c r="L10" s="23">
        <f t="shared" si="2"/>
        <v>-0.00338664158</v>
      </c>
      <c r="M10" s="24">
        <f>'Справочник'!$L$4/365*(H10-TODAY())</f>
        <v>0.03506849315</v>
      </c>
      <c r="N10" s="25">
        <f t="shared" si="3"/>
        <v>-0.03845513473</v>
      </c>
      <c r="O10" s="26">
        <f t="shared" si="4"/>
        <v>-0.03845513473</v>
      </c>
      <c r="P10" s="27"/>
      <c r="Q10" s="27"/>
    </row>
    <row r="11">
      <c r="A11" s="28" t="str">
        <f>IFERROR(__xludf.DUMMYFUNCTION("FILTER(Данные_по_фьючерсам[Фьючерсный контракт], Данные_по_фьючерсам[Фьючерсы на акции] = B11)"),"Фьючерсный контракт на обыкновенные акции ПАО «Магнитогорский металлургический комбинат»")</f>
        <v>Фьючерсный контракт на обыкновенные акции ПАО «Магнитогорский металлургический комбинат»</v>
      </c>
      <c r="B11" s="29" t="s">
        <v>24</v>
      </c>
      <c r="C11" s="30" t="str">
        <f>IFERROR(__xludf.DUMMYFUNCTION("FILTER(Данные_по_фьючерсам[Код инструмента], Данные_по_фьючерсам[Фьючерсы на акции] = B11)"),"MGZ5")</f>
        <v>MGZ5</v>
      </c>
      <c r="D11" s="31" t="str">
        <f>IFERROR(__xludf.DUMMYFUNCTION("FILTER(Данные_по_фьючерсам[Ссылка на инструмент], Данные_по_фьючерсам[Фьючерсы на акции] = B11)"),"https://www.moex.com/ru/contract.aspx?code=MGZ5")</f>
        <v>https://www.moex.com/ru/contract.aspx?code=MGZ5</v>
      </c>
      <c r="E11" s="32" t="str">
        <f>IFERROR(__xludf.DUMMYFUNCTION("FILTER('Фьючерсы на акции'!$B$4:$B30, 'Фьючерсы на акции'!$A$4:$A30 = B11)"),"25 758")</f>
        <v>25 758</v>
      </c>
      <c r="F11" s="33">
        <f>IFERROR(__xludf.DUMMYFUNCTION("IF(ISNUMBER(E11),E11,VALUE(REGEXREPLACE(REGEXREPLACE(E11,"" "",""""),"","",""."")))"),25758.0)</f>
        <v>25758</v>
      </c>
      <c r="G11" s="34">
        <f>IFERROR(__xludf.DUMMYFUNCTION("FILTER(Данные_по_фьючерсам[Объем лота], Данные_по_фьючерсам[Фьючерсы на акции] = B11)"),1000.0)</f>
        <v>1000</v>
      </c>
      <c r="H11" s="35">
        <f>IFERROR(__xludf.DUMMYFUNCTION("FILTER(Данные_по_фьючерсам[Дата экспирации], Данные_по_фьючерсам[Фьючерсы на акции] = B11)"),46010.0)</f>
        <v>46010</v>
      </c>
      <c r="I11" s="36" t="str">
        <f>IFERROR(__xludf.DUMMYFUNCTION("FILTER(Данные_по_фьючерсам[Базовый актив], Данные_по_фьючерсам[Фьючерсы на акции] = B11)"),"MAGN")</f>
        <v>MAGN</v>
      </c>
      <c r="J11" s="48">
        <f>IFERROR(__xludf.DUMMYFUNCTION("IMPORTxml(""https://iss.moex.com/iss/engines/stock/markets/shares/boards/TQBR/securities.xml?iss.meta=off&amp;iss.only=marketdata&amp;marketdata.columns=SECID,LAST"", concatenate(""//row[@SECID='"",$I11,""']/@LAST""))"),25.15)</f>
        <v>25.15</v>
      </c>
      <c r="K11" s="38" t="str">
        <f t="shared" si="1"/>
        <v>https://www.moex.com/ru/issue.aspx?board=TQBR&amp;code=MAGN</v>
      </c>
      <c r="L11" s="39">
        <f t="shared" si="2"/>
        <v>0.0241749503</v>
      </c>
      <c r="M11" s="40">
        <f>'Справочник'!$L$4/365*(H11-TODAY())</f>
        <v>0.03506849315</v>
      </c>
      <c r="N11" s="41">
        <f t="shared" si="3"/>
        <v>-0.01089354285</v>
      </c>
      <c r="O11" s="42">
        <f t="shared" si="4"/>
        <v>-0.01089354285</v>
      </c>
      <c r="P11" s="27"/>
      <c r="Q11" s="27"/>
    </row>
    <row r="12">
      <c r="A12" s="12" t="str">
        <f>IFERROR(__xludf.DUMMYFUNCTION("FILTER(Данные_по_фьючерсам[Фьючерсный контракт], Данные_по_фьючерсам[Фьючерсы на акции] = B12)"),"Фьючерсный контракт на обыкновенные акции ПАО «Магнит»")</f>
        <v>Фьючерсный контракт на обыкновенные акции ПАО «Магнит»</v>
      </c>
      <c r="B12" s="13" t="s">
        <v>25</v>
      </c>
      <c r="C12" s="43" t="str">
        <f>IFERROR(__xludf.DUMMYFUNCTION("FILTER(Данные_по_фьючерсам[Код инструмента], Данные_по_фьючерсам[Фьючерсы на акции] = B12)"),"MNZ5")</f>
        <v>MNZ5</v>
      </c>
      <c r="D12" s="15" t="str">
        <f>IFERROR(__xludf.DUMMYFUNCTION("FILTER(Данные_по_фьючерсам[Ссылка на инструмент], Данные_по_фьючерсам[Фьючерсы на акции] = B12)"),"https://www.moex.com/ru/contract.aspx?code=MNZ5")</f>
        <v>https://www.moex.com/ru/contract.aspx?code=MNZ5</v>
      </c>
      <c r="E12" s="16" t="str">
        <f>IFERROR(__xludf.DUMMYFUNCTION("FILTER('Фьючерсы на акции'!$B$4:$B30, 'Фьючерсы на акции'!$A$4:$A30 = B12)"),"2 981")</f>
        <v>2 981</v>
      </c>
      <c r="F12" s="17">
        <f>IFERROR(__xludf.DUMMYFUNCTION("IF(ISNUMBER(E12),E12,VALUE(REGEXREPLACE(REGEXREPLACE(E12,"" "",""""),"","",""."")))"),2981.0)</f>
        <v>2981</v>
      </c>
      <c r="G12" s="44">
        <f>IFERROR(__xludf.DUMMYFUNCTION("FILTER(Данные_по_фьючерсам[Объем лота], Данные_по_фьючерсам[Фьючерсы на акции] = B12)"),1.0)</f>
        <v>1</v>
      </c>
      <c r="H12" s="45">
        <f>IFERROR(__xludf.DUMMYFUNCTION("FILTER(Данные_по_фьючерсам[Дата экспирации], Данные_по_фьючерсам[Фьючерсы на акции] = B12)"),46010.0)</f>
        <v>46010</v>
      </c>
      <c r="I12" s="20" t="str">
        <f>IFERROR(__xludf.DUMMYFUNCTION("FILTER(Данные_по_фьючерсам[Базовый актив], Данные_по_фьючерсам[Фьючерсы на акции] = B12)"),"MGNT")</f>
        <v>MGNT</v>
      </c>
      <c r="J12" s="46">
        <f>IFERROR(__xludf.DUMMYFUNCTION("IMPORTxml(""https://iss.moex.com/iss/engines/stock/markets/shares/boards/TQBR/securities.xml?iss.meta=off&amp;iss.only=marketdata&amp;marketdata.columns=SECID,LAST"", concatenate(""//row[@SECID='"",$I12,""']/@LAST""))"),2890.5)</f>
        <v>2890.5</v>
      </c>
      <c r="K12" s="22" t="str">
        <f t="shared" si="1"/>
        <v>https://www.moex.com/ru/issue.aspx?board=TQBR&amp;code=MGNT</v>
      </c>
      <c r="L12" s="23">
        <f t="shared" si="2"/>
        <v>0.03130946203</v>
      </c>
      <c r="M12" s="24">
        <f>'Справочник'!$L$4/365*(H12-TODAY())</f>
        <v>0.03506849315</v>
      </c>
      <c r="N12" s="25">
        <f t="shared" si="3"/>
        <v>-0.00375903112</v>
      </c>
      <c r="O12" s="26">
        <f t="shared" si="4"/>
        <v>-0.00375903112</v>
      </c>
      <c r="P12" s="47"/>
      <c r="Q12" s="47"/>
    </row>
    <row r="13">
      <c r="A13" s="28" t="str">
        <f>IFERROR(__xludf.DUMMYFUNCTION("FILTER(Данные_по_фьючерсам[Фьючерсный контракт], Данные_по_фьючерсам[Фьючерсы на акции] = B13)"),"Фьючерсный контракт на обыкновенные акции ПАО Московская Биржа")</f>
        <v>Фьючерсный контракт на обыкновенные акции ПАО Московская Биржа</v>
      </c>
      <c r="B13" s="29" t="s">
        <v>26</v>
      </c>
      <c r="C13" s="30" t="str">
        <f>IFERROR(__xludf.DUMMYFUNCTION("FILTER(Данные_по_фьючерсам[Код инструмента], Данные_по_фьючерсам[Фьючерсы на акции] = B13)"),"MEZ5")</f>
        <v>MEZ5</v>
      </c>
      <c r="D13" s="31" t="str">
        <f>IFERROR(__xludf.DUMMYFUNCTION("FILTER(Данные_по_фьючерсам[Ссылка на инструмент], Данные_по_фьючерсам[Фьючерсы на акции] = B13)"),"https://www.moex.com/ru/contract.aspx?code=MEZ5")</f>
        <v>https://www.moex.com/ru/contract.aspx?code=MEZ5</v>
      </c>
      <c r="E13" s="32" t="str">
        <f>IFERROR(__xludf.DUMMYFUNCTION("FILTER('Фьючерсы на акции'!$B$4:$B30, 'Фьючерсы на акции'!$A$4:$A30 = B13)"),"16 037")</f>
        <v>16 037</v>
      </c>
      <c r="F13" s="33">
        <f>IFERROR(__xludf.DUMMYFUNCTION("IF(ISNUMBER(E13),E13,VALUE(REGEXREPLACE(REGEXREPLACE(E13,"" "",""""),"","",""."")))"),16037.0)</f>
        <v>16037</v>
      </c>
      <c r="G13" s="34">
        <f>IFERROR(__xludf.DUMMYFUNCTION("FILTER(Данные_по_фьючерсам[Объем лота], Данные_по_фьючерсам[Фьючерсы на акции] = B13)"),100.0)</f>
        <v>100</v>
      </c>
      <c r="H13" s="35">
        <f>IFERROR(__xludf.DUMMYFUNCTION("FILTER(Данные_по_фьючерсам[Дата экспирации], Данные_по_фьючерсам[Фьючерсы на акции] = B13)"),46010.0)</f>
        <v>46010</v>
      </c>
      <c r="I13" s="36" t="str">
        <f>IFERROR(__xludf.DUMMYFUNCTION("FILTER(Данные_по_фьючерсам[Базовый актив], Данные_по_фьючерсам[Фьючерсы на акции] = B13)"),"MOEX")</f>
        <v>MOEX</v>
      </c>
      <c r="J13" s="48">
        <f>IFERROR(__xludf.DUMMYFUNCTION("IMPORTxml(""https://iss.moex.com/iss/engines/stock/markets/shares/boards/TQBR/securities.xml?iss.meta=off&amp;iss.only=marketdata&amp;marketdata.columns=SECID,LAST"", concatenate(""//row[@SECID='"",$I13,""']/@LAST""))"),155.55)</f>
        <v>155.55</v>
      </c>
      <c r="K13" s="38" t="str">
        <f t="shared" si="1"/>
        <v>https://www.moex.com/ru/issue.aspx?board=TQBR&amp;code=MOEX</v>
      </c>
      <c r="L13" s="39">
        <f t="shared" si="2"/>
        <v>0.03098682096</v>
      </c>
      <c r="M13" s="40">
        <f>'Справочник'!$L$4/365*(H13-TODAY())</f>
        <v>0.03506849315</v>
      </c>
      <c r="N13" s="41">
        <f t="shared" si="3"/>
        <v>-0.004081672193</v>
      </c>
      <c r="O13" s="42">
        <f t="shared" si="4"/>
        <v>-0.004081672193</v>
      </c>
      <c r="P13" s="49"/>
      <c r="Q13" s="49"/>
    </row>
    <row r="14">
      <c r="A14" s="12" t="str">
        <f>IFERROR(__xludf.DUMMYFUNCTION("FILTER(Данные_по_фьючерсам[Фьючерсный контракт], Данные_по_фьючерсам[Фьючерсы на акции] = B14)"),"Фьючерсный контракт на обыкновенные акции ПАО «МТС»")</f>
        <v>Фьючерсный контракт на обыкновенные акции ПАО «МТС»</v>
      </c>
      <c r="B14" s="13" t="s">
        <v>27</v>
      </c>
      <c r="C14" s="43" t="str">
        <f>IFERROR(__xludf.DUMMYFUNCTION("FILTER(Данные_по_фьючерсам[Код инструмента], Данные_по_фьючерсам[Фьючерсы на акции] = B14)"),"MTZ5")</f>
        <v>MTZ5</v>
      </c>
      <c r="D14" s="15" t="str">
        <f>IFERROR(__xludf.DUMMYFUNCTION("FILTER(Данные_по_фьючерсам[Ссылка на инструмент], Данные_по_фьючерсам[Фьючерсы на акции] = B14)"),"https://www.moex.com/ru/contract.aspx?code=MTZ5")</f>
        <v>https://www.moex.com/ru/contract.aspx?code=MTZ5</v>
      </c>
      <c r="E14" s="16" t="str">
        <f>IFERROR(__xludf.DUMMYFUNCTION("FILTER('Фьючерсы на акции'!$B$4:$B30, 'Фьючерсы на акции'!$A$4:$A30 = B14)"),"20 670")</f>
        <v>20 670</v>
      </c>
      <c r="F14" s="17">
        <f>IFERROR(__xludf.DUMMYFUNCTION("IF(ISNUMBER(E14),E14,VALUE(REGEXREPLACE(REGEXREPLACE(E14,"" "",""""),"","",""."")))"),20670.0)</f>
        <v>20670</v>
      </c>
      <c r="G14" s="44">
        <f>IFERROR(__xludf.DUMMYFUNCTION("FILTER(Данные_по_фьючерсам[Объем лота], Данные_по_фьючерсам[Фьючерсы на акции] = B14)"),100.0)</f>
        <v>100</v>
      </c>
      <c r="H14" s="45">
        <f>IFERROR(__xludf.DUMMYFUNCTION("FILTER(Данные_по_фьючерсам[Дата экспирации], Данные_по_фьючерсам[Фьючерсы на акции] = B14)"),46010.0)</f>
        <v>46010</v>
      </c>
      <c r="I14" s="20" t="str">
        <f>IFERROR(__xludf.DUMMYFUNCTION("FILTER(Данные_по_фьючерсам[Базовый актив], Данные_по_фьючерсам[Фьючерсы на акции] = B14)"),"MTSS")</f>
        <v>MTSS</v>
      </c>
      <c r="J14" s="46">
        <f>IFERROR(__xludf.DUMMYFUNCTION("IMPORTxml(""https://iss.moex.com/iss/engines/stock/markets/shares/boards/TQBR/securities.xml?iss.meta=off&amp;iss.only=marketdata&amp;marketdata.columns=SECID,LAST"", concatenate(""//row[@SECID='"",$I14,""']/@LAST""))"),200.65)</f>
        <v>200.65</v>
      </c>
      <c r="K14" s="22" t="str">
        <f t="shared" si="1"/>
        <v>https://www.moex.com/ru/issue.aspx?board=TQBR&amp;code=MTSS</v>
      </c>
      <c r="L14" s="23">
        <f t="shared" si="2"/>
        <v>0.03015200598</v>
      </c>
      <c r="M14" s="24">
        <f>'Справочник'!$L$4/365*(H14-TODAY())</f>
        <v>0.03506849315</v>
      </c>
      <c r="N14" s="25">
        <f t="shared" si="3"/>
        <v>-0.00491648717</v>
      </c>
      <c r="O14" s="26">
        <f t="shared" si="4"/>
        <v>-0.00491648717</v>
      </c>
      <c r="P14" s="27"/>
      <c r="Q14" s="27"/>
    </row>
    <row r="15">
      <c r="A15" s="28" t="str">
        <f>IFERROR(__xludf.DUMMYFUNCTION("FILTER(Данные_по_фьючерсам[Фьючерсный контракт], Данные_по_фьючерсам[Фьючерсы на акции] = B15)"),"Фьючерсный контракт на обыкновенные акции ПАО «НЛМК»")</f>
        <v>Фьючерсный контракт на обыкновенные акции ПАО «НЛМК»</v>
      </c>
      <c r="B15" s="29" t="s">
        <v>28</v>
      </c>
      <c r="C15" s="30" t="str">
        <f>IFERROR(__xludf.DUMMYFUNCTION("FILTER(Данные_по_фьючерсам[Код инструмента], Данные_по_фьючерсам[Фьючерсы на акции] = B15)"),"NMZ5")</f>
        <v>NMZ5</v>
      </c>
      <c r="D15" s="31" t="str">
        <f>IFERROR(__xludf.DUMMYFUNCTION("FILTER(Данные_по_фьючерсам[Ссылка на инструмент], Данные_по_фьючерсам[Фьючерсы на акции] = B15)"),"https://www.moex.com/ru/contract.aspx?code=NMZ5")</f>
        <v>https://www.moex.com/ru/contract.aspx?code=NMZ5</v>
      </c>
      <c r="E15" s="32" t="str">
        <f>IFERROR(__xludf.DUMMYFUNCTION("FILTER('Фьючерсы на акции'!$B$4:$B30, 'Фьючерсы на акции'!$A$4:$A30 = B15)"),"10 034")</f>
        <v>10 034</v>
      </c>
      <c r="F15" s="33">
        <f>IFERROR(__xludf.DUMMYFUNCTION("IF(ISNUMBER(E15),E15,VALUE(REGEXREPLACE(REGEXREPLACE(E15,"" "",""""),"","",""."")))"),10034.0)</f>
        <v>10034</v>
      </c>
      <c r="G15" s="34">
        <f>IFERROR(__xludf.DUMMYFUNCTION("FILTER(Данные_по_фьючерсам[Объем лота], Данные_по_фьючерсам[Фьючерсы на акции] = B15)"),100.0)</f>
        <v>100</v>
      </c>
      <c r="H15" s="35">
        <f>IFERROR(__xludf.DUMMYFUNCTION("FILTER(Данные_по_фьючерсам[Дата экспирации], Данные_по_фьючерсам[Фьючерсы на акции] = B15)"),46010.0)</f>
        <v>46010</v>
      </c>
      <c r="I15" s="36" t="str">
        <f>IFERROR(__xludf.DUMMYFUNCTION("FILTER(Данные_по_фьючерсам[Базовый актив], Данные_по_фьючерсам[Фьючерсы на акции] = B15)"),"NLMK")</f>
        <v>NLMK</v>
      </c>
      <c r="J15" s="48">
        <f>IFERROR(__xludf.DUMMYFUNCTION("IMPORTxml(""https://iss.moex.com/iss/engines/stock/markets/shares/boards/TQBR/securities.xml?iss.meta=off&amp;iss.only=marketdata&amp;marketdata.columns=SECID,LAST"", concatenate(""//row[@SECID='"",$I15,""']/@LAST""))"),97.18)</f>
        <v>97.18</v>
      </c>
      <c r="K15" s="38" t="str">
        <f t="shared" si="1"/>
        <v>https://www.moex.com/ru/issue.aspx?board=TQBR&amp;code=NLMK</v>
      </c>
      <c r="L15" s="39">
        <f t="shared" si="2"/>
        <v>0.0325169788</v>
      </c>
      <c r="M15" s="40">
        <f>'Справочник'!$L$4/365*(H15-TODAY())</f>
        <v>0.03506849315</v>
      </c>
      <c r="N15" s="41">
        <f t="shared" si="3"/>
        <v>-0.002551514348</v>
      </c>
      <c r="O15" s="42">
        <f t="shared" si="4"/>
        <v>-0.002551514348</v>
      </c>
      <c r="P15" s="27"/>
      <c r="Q15" s="27"/>
    </row>
    <row r="16">
      <c r="A16" s="12" t="str">
        <f>IFERROR(__xludf.DUMMYFUNCTION("FILTER(Данные_по_фьючерсам[Фьючерсный контракт], Данные_по_фьючерсам[Фьючерсы на акции] = B16)"),"Фьючерсный контракт на обыкновенные акции ПАО «НОВАТЭК»")</f>
        <v>Фьючерсный контракт на обыкновенные акции ПАО «НОВАТЭК»</v>
      </c>
      <c r="B16" s="13" t="s">
        <v>29</v>
      </c>
      <c r="C16" s="43" t="str">
        <f>IFERROR(__xludf.DUMMYFUNCTION("FILTER(Данные_по_фьючерсам[Код инструмента], Данные_по_фьючерсам[Фьючерсы на акции] = B16)"),"NKZ5")</f>
        <v>NKZ5</v>
      </c>
      <c r="D16" s="15" t="str">
        <f>IFERROR(__xludf.DUMMYFUNCTION("FILTER(Данные_по_фьючерсам[Ссылка на инструмент], Данные_по_фьючерсам[Фьючерсы на акции] = B16)"),"https://www.moex.com/ru/contract.aspx?code=NKZ5")</f>
        <v>https://www.moex.com/ru/contract.aspx?code=NKZ5</v>
      </c>
      <c r="E16" s="16" t="str">
        <f>IFERROR(__xludf.DUMMYFUNCTION("FILTER('Фьючерсы на акции'!$B$4:$B30, 'Фьючерсы на акции'!$A$4:$A30 = B16)"),"110 644")</f>
        <v>110 644</v>
      </c>
      <c r="F16" s="17">
        <f>IFERROR(__xludf.DUMMYFUNCTION("IF(ISNUMBER(E16),E16,VALUE(REGEXREPLACE(REGEXREPLACE(E16,"" "",""""),"","",""."")))"),110644.0)</f>
        <v>110644</v>
      </c>
      <c r="G16" s="44">
        <f>IFERROR(__xludf.DUMMYFUNCTION("FILTER(Данные_по_фьючерсам[Объем лота], Данные_по_фьючерсам[Фьючерсы на акции] = B16)"),100.0)</f>
        <v>100</v>
      </c>
      <c r="H16" s="45">
        <f>IFERROR(__xludf.DUMMYFUNCTION("FILTER(Данные_по_фьючерсам[Дата экспирации], Данные_по_фьючерсам[Фьючерсы на акции] = B16)"),46010.0)</f>
        <v>46010</v>
      </c>
      <c r="I16" s="20" t="str">
        <f>IFERROR(__xludf.DUMMYFUNCTION("FILTER(Данные_по_фьючерсам[Базовый актив], Данные_по_фьючерсам[Фьючерсы на акции] = B16)"),"NVTK")</f>
        <v>NVTK</v>
      </c>
      <c r="J16" s="46">
        <f>IFERROR(__xludf.DUMMYFUNCTION("IMPORTxml(""https://iss.moex.com/iss/engines/stock/markets/shares/boards/TQBR/securities.xml?iss.meta=off&amp;iss.only=marketdata&amp;marketdata.columns=SECID,LAST"", concatenate(""//row[@SECID='"",$I16,""']/@LAST""))"),1074.2)</f>
        <v>1074.2</v>
      </c>
      <c r="K16" s="22" t="str">
        <f t="shared" si="1"/>
        <v>https://www.moex.com/ru/issue.aspx?board=TQBR&amp;code=NVTK</v>
      </c>
      <c r="L16" s="23">
        <f t="shared" si="2"/>
        <v>0.03001303295</v>
      </c>
      <c r="M16" s="24">
        <f>'Справочник'!$L$4/365*(H16-TODAY())</f>
        <v>0.03506849315</v>
      </c>
      <c r="N16" s="25">
        <f t="shared" si="3"/>
        <v>-0.005055460196</v>
      </c>
      <c r="O16" s="26">
        <f t="shared" si="4"/>
        <v>-0.005055460196</v>
      </c>
      <c r="P16" s="27"/>
      <c r="Q16" s="27"/>
    </row>
    <row r="17">
      <c r="A17" s="28" t="str">
        <f>IFERROR(__xludf.DUMMYFUNCTION("FILTER(Данные_по_фьючерсам[Фьючерсный контракт], Данные_по_фьючерсам[Фьючерсы на акции] = B17)"),"Фьючерсный контракт на обыкновенные акции ПАО ""ФосАгро""")</f>
        <v>Фьючерсный контракт на обыкновенные акции ПАО "ФосАгро"</v>
      </c>
      <c r="B17" s="29" t="s">
        <v>30</v>
      </c>
      <c r="C17" s="30" t="str">
        <f>IFERROR(__xludf.DUMMYFUNCTION("FILTER(Данные_по_фьючерсам[Код инструмента], Данные_по_фьючерсам[Фьючерсы на акции] = B17)"),"PHZ5")</f>
        <v>PHZ5</v>
      </c>
      <c r="D17" s="31" t="str">
        <f>IFERROR(__xludf.DUMMYFUNCTION("FILTER(Данные_по_фьючерсам[Ссылка на инструмент], Данные_по_фьючерсам[Фьючерсы на акции] = B17)"),"https://www.moex.com/ru/contract.aspx?code=PHZ5")</f>
        <v>https://www.moex.com/ru/contract.aspx?code=PHZ5</v>
      </c>
      <c r="E17" s="32" t="str">
        <f>IFERROR(__xludf.DUMMYFUNCTION("FILTER('Фьючерсы на акции'!$B$4:$B30, 'Фьючерсы на акции'!$A$4:$A30 = B17)"),"6 968")</f>
        <v>6 968</v>
      </c>
      <c r="F17" s="33">
        <f>IFERROR(__xludf.DUMMYFUNCTION("IF(ISNUMBER(E17),E17,VALUE(REGEXREPLACE(REGEXREPLACE(E17,"" "",""""),"","",""."")))"),6968.0)</f>
        <v>6968</v>
      </c>
      <c r="G17" s="34">
        <f>IFERROR(__xludf.DUMMYFUNCTION("FILTER(Данные_по_фьючерсам[Объем лота], Данные_по_фьючерсам[Фьючерсы на акции] = B17)"),1.0)</f>
        <v>1</v>
      </c>
      <c r="H17" s="35">
        <f>IFERROR(__xludf.DUMMYFUNCTION("FILTER(Данные_по_фьючерсам[Дата экспирации], Данные_по_фьючерсам[Фьючерсы на акции] = B17)"),46010.0)</f>
        <v>46010</v>
      </c>
      <c r="I17" s="36" t="str">
        <f>IFERROR(__xludf.DUMMYFUNCTION("FILTER(Данные_по_фьючерсам[Базовый актив], Данные_по_фьючерсам[Фьючерсы на акции] = B17)"),"PHOR")</f>
        <v>PHOR</v>
      </c>
      <c r="J17" s="37">
        <f>IFERROR(__xludf.DUMMYFUNCTION("IMPORTxml(""https://iss.moex.com/iss/engines/stock/markets/shares/boards/TQBR/securities.xml?iss.meta=off&amp;iss.only=marketdata&amp;marketdata.columns=SECID,LAST"", concatenate(""//row[@SECID='"",$I17,""']/@LAST""))"),6776.0)</f>
        <v>6776</v>
      </c>
      <c r="K17" s="38" t="str">
        <f t="shared" si="1"/>
        <v>https://www.moex.com/ru/issue.aspx?board=TQBR&amp;code=PHOR</v>
      </c>
      <c r="L17" s="39">
        <f t="shared" si="2"/>
        <v>0.02833530106</v>
      </c>
      <c r="M17" s="40">
        <f>'Справочник'!$L$4/365*(H17-TODAY())</f>
        <v>0.03506849315</v>
      </c>
      <c r="N17" s="41">
        <f t="shared" si="3"/>
        <v>-0.006733192088</v>
      </c>
      <c r="O17" s="42">
        <f t="shared" si="4"/>
        <v>-0.006733192088</v>
      </c>
      <c r="P17" s="27"/>
      <c r="Q17" s="27"/>
    </row>
    <row r="18">
      <c r="A18" s="12" t="str">
        <f>IFERROR(__xludf.DUMMYFUNCTION("FILTER(Данные_по_фьючерсам[Фьючерсный контракт], Данные_по_фьючерсам[Фьючерсы на акции] = B18)"),"Фьючерсный контракт на обыкновенные акции ПАО «НК «Роснефть»")</f>
        <v>Фьючерсный контракт на обыкновенные акции ПАО «НК «Роснефть»</v>
      </c>
      <c r="B18" s="13" t="s">
        <v>31</v>
      </c>
      <c r="C18" s="43" t="str">
        <f>IFERROR(__xludf.DUMMYFUNCTION("FILTER(Данные_по_фьючерсам[Код инструмента], Данные_по_фьючерсам[Фьючерсы на акции] = B18)"),"RNZ5")</f>
        <v>RNZ5</v>
      </c>
      <c r="D18" s="15" t="str">
        <f>IFERROR(__xludf.DUMMYFUNCTION("FILTER(Данные_по_фьючерсам[Ссылка на инструмент], Данные_по_фьючерсам[Фьючерсы на акции] = B18)"),"https://www.moex.com/ru/contract.aspx?code=RNZ5")</f>
        <v>https://www.moex.com/ru/contract.aspx?code=RNZ5</v>
      </c>
      <c r="E18" s="16" t="str">
        <f>IFERROR(__xludf.DUMMYFUNCTION("FILTER('Фьючерсы на акции'!$B$4:$B30, 'Фьючерсы на акции'!$A$4:$A30 = B18)"),"41 426")</f>
        <v>41 426</v>
      </c>
      <c r="F18" s="17">
        <f>IFERROR(__xludf.DUMMYFUNCTION("IF(ISNUMBER(E18),E18,VALUE(REGEXREPLACE(REGEXREPLACE(E18,"" "",""""),"","",""."")))"),41426.0)</f>
        <v>41426</v>
      </c>
      <c r="G18" s="44">
        <f>IFERROR(__xludf.DUMMYFUNCTION("FILTER(Данные_по_фьючерсам[Объем лота], Данные_по_фьючерсам[Фьючерсы на акции] = B18)"),100.0)</f>
        <v>100</v>
      </c>
      <c r="H18" s="45">
        <f>IFERROR(__xludf.DUMMYFUNCTION("FILTER(Данные_по_фьючерсам[Дата экспирации], Данные_по_фьючерсам[Фьючерсы на акции] = B18)"),46010.0)</f>
        <v>46010</v>
      </c>
      <c r="I18" s="20" t="str">
        <f>IFERROR(__xludf.DUMMYFUNCTION("FILTER(Данные_по_фьючерсам[Базовый актив], Данные_по_фьючерсам[Фьючерсы на акции] = B18)"),"ROSN")</f>
        <v>ROSN</v>
      </c>
      <c r="J18" s="46">
        <f>IFERROR(__xludf.DUMMYFUNCTION("IMPORTxml(""https://iss.moex.com/iss/engines/stock/markets/shares/boards/TQBR/securities.xml?iss.meta=off&amp;iss.only=marketdata&amp;marketdata.columns=SECID,LAST"", concatenate(""//row[@SECID='"",$I18,""']/@LAST""))"),401.5)</f>
        <v>401.5</v>
      </c>
      <c r="K18" s="22" t="str">
        <f t="shared" si="1"/>
        <v>https://www.moex.com/ru/issue.aspx?board=TQBR&amp;code=ROSN</v>
      </c>
      <c r="L18" s="23">
        <f t="shared" si="2"/>
        <v>0.03178082192</v>
      </c>
      <c r="M18" s="24">
        <f>'Справочник'!$L$4/365*(H18-TODAY())</f>
        <v>0.03506849315</v>
      </c>
      <c r="N18" s="25">
        <f t="shared" si="3"/>
        <v>-0.003287671233</v>
      </c>
      <c r="O18" s="26">
        <f t="shared" si="4"/>
        <v>-0.003287671233</v>
      </c>
      <c r="P18" s="27"/>
      <c r="Q18" s="27"/>
    </row>
    <row r="19">
      <c r="A19" s="28" t="str">
        <f>IFERROR(__xludf.DUMMYFUNCTION("FILTER(Данные_по_фьючерсам[Фьючерсный контракт], Данные_по_фьючерсам[Фьючерсы на акции] = B19)"),"Фьючерсный контракт на обыкновенные акции ПАО «Ростелеком»")</f>
        <v>Фьючерсный контракт на обыкновенные акции ПАО «Ростелеком»</v>
      </c>
      <c r="B19" s="29" t="s">
        <v>32</v>
      </c>
      <c r="C19" s="30" t="str">
        <f>IFERROR(__xludf.DUMMYFUNCTION("FILTER(Данные_по_фьючерсам[Код инструмента], Данные_по_фьючерсам[Фьючерсы на акции] = B19)"),"RTZ5")</f>
        <v>RTZ5</v>
      </c>
      <c r="D19" s="31" t="str">
        <f>IFERROR(__xludf.DUMMYFUNCTION("FILTER(Данные_по_фьючерсам[Ссылка на инструмент], Данные_по_фьючерсам[Фьючерсы на акции] = B19)"),"https://www.moex.com/ru/contract.aspx?code=RTZ5")</f>
        <v>https://www.moex.com/ru/contract.aspx?code=RTZ5</v>
      </c>
      <c r="E19" s="32" t="str">
        <f>IFERROR(__xludf.DUMMYFUNCTION("FILTER('Фьючерсы на акции'!$B$4:$B30, 'Фьючерсы на акции'!$A$4:$A30 = B19)"),"6 181")</f>
        <v>6 181</v>
      </c>
      <c r="F19" s="33">
        <f>IFERROR(__xludf.DUMMYFUNCTION("IF(ISNUMBER(E19),E19,VALUE(REGEXREPLACE(REGEXREPLACE(E19,"" "",""""),"","",""."")))"),6181.0)</f>
        <v>6181</v>
      </c>
      <c r="G19" s="34">
        <f>IFERROR(__xludf.DUMMYFUNCTION("FILTER(Данные_по_фьючерсам[Объем лота], Данные_по_фьючерсам[Фьючерсы на акции] = B19)"),100.0)</f>
        <v>100</v>
      </c>
      <c r="H19" s="35">
        <f>IFERROR(__xludf.DUMMYFUNCTION("FILTER(Данные_по_фьючерсам[Дата экспирации], Данные_по_фьючерсам[Фьючерсы на акции] = B19)"),46010.0)</f>
        <v>46010</v>
      </c>
      <c r="I19" s="36" t="str">
        <f>IFERROR(__xludf.DUMMYFUNCTION("FILTER(Данные_по_фьючерсам[Базовый актив], Данные_по_фьючерсам[Фьючерсы на акции] = B19)"),"RTKM")</f>
        <v>RTKM</v>
      </c>
      <c r="J19" s="48">
        <f>IFERROR(__xludf.DUMMYFUNCTION("IMPORTxml(""https://iss.moex.com/iss/engines/stock/markets/shares/boards/TQBR/securities.xml?iss.meta=off&amp;iss.only=marketdata&amp;marketdata.columns=SECID,LAST"", concatenate(""//row[@SECID='"",$I19,""']/@LAST""))"),60.95)</f>
        <v>60.95</v>
      </c>
      <c r="K19" s="38" t="str">
        <f t="shared" si="1"/>
        <v>https://www.moex.com/ru/issue.aspx?board=TQBR&amp;code=RTKM</v>
      </c>
      <c r="L19" s="39">
        <f t="shared" si="2"/>
        <v>0.01410992617</v>
      </c>
      <c r="M19" s="40">
        <f>'Справочник'!$L$4/365*(H19-TODAY())</f>
        <v>0.03506849315</v>
      </c>
      <c r="N19" s="41">
        <f t="shared" si="3"/>
        <v>-0.02095856698</v>
      </c>
      <c r="O19" s="42">
        <f t="shared" si="4"/>
        <v>-0.02095856698</v>
      </c>
      <c r="P19" s="27"/>
      <c r="Q19" s="27"/>
    </row>
    <row r="20">
      <c r="A20" s="12" t="str">
        <f>IFERROR(__xludf.DUMMYFUNCTION("FILTER(Данные_по_фьючерсам[Фьючерсный контракт], Данные_по_фьючерсам[Фьючерсы на акции] = B20)"),"Фьючерсный контракт на обыкновенные акции ПАО Сбербанк")</f>
        <v>Фьючерсный контракт на обыкновенные акции ПАО Сбербанк</v>
      </c>
      <c r="B20" s="13" t="s">
        <v>33</v>
      </c>
      <c r="C20" s="43" t="str">
        <f>IFERROR(__xludf.DUMMYFUNCTION("FILTER(Данные_по_фьючерсам[Код инструмента], Данные_по_фьючерсам[Фьючерсы на акции] = B20)"),"SRZ5")</f>
        <v>SRZ5</v>
      </c>
      <c r="D20" s="15" t="str">
        <f>IFERROR(__xludf.DUMMYFUNCTION("FILTER(Данные_по_фьючерсам[Ссылка на инструмент], Данные_по_фьючерсам[Фьючерсы на акции] = B20)"),"https://www.moex.com/ru/contract.aspx?code=SRZ5")</f>
        <v>https://www.moex.com/ru/contract.aspx?code=SRZ5</v>
      </c>
      <c r="E20" s="16" t="str">
        <f>IFERROR(__xludf.DUMMYFUNCTION("FILTER('Фьючерсы на акции'!$B$4:$B30, 'Фьючерсы на акции'!$A$4:$A30 = B20)"),"29 256")</f>
        <v>29 256</v>
      </c>
      <c r="F20" s="17">
        <f>IFERROR(__xludf.DUMMYFUNCTION("IF(ISNUMBER(E20),E20,VALUE(REGEXREPLACE(REGEXREPLACE(E20,"" "",""""),"","",""."")))"),29256.0)</f>
        <v>29256</v>
      </c>
      <c r="G20" s="44">
        <f>IFERROR(__xludf.DUMMYFUNCTION("FILTER(Данные_по_фьючерсам[Объем лота], Данные_по_фьючерсам[Фьючерсы на акции] = B20)"),100.0)</f>
        <v>100</v>
      </c>
      <c r="H20" s="45">
        <f>IFERROR(__xludf.DUMMYFUNCTION("FILTER(Данные_по_фьючерсам[Дата экспирации], Данные_по_фьючерсам[Фьючерсы на акции] = B20)"),46010.0)</f>
        <v>46010</v>
      </c>
      <c r="I20" s="20" t="str">
        <f>IFERROR(__xludf.DUMMYFUNCTION("FILTER(Данные_по_фьючерсам[Базовый актив], Данные_по_фьючерсам[Фьючерсы на акции] = B20)"),"SBER")</f>
        <v>SBER</v>
      </c>
      <c r="J20" s="46">
        <f>IFERROR(__xludf.DUMMYFUNCTION("IMPORTxml(""https://iss.moex.com/iss/engines/stock/markets/shares/boards/TQBR/securities.xml?iss.meta=off&amp;iss.only=marketdata&amp;marketdata.columns=SECID,LAST"", concatenate(""//row[@SECID='"",$I20,""']/@LAST""))"),283.97)</f>
        <v>283.97</v>
      </c>
      <c r="K20" s="22" t="str">
        <f t="shared" si="1"/>
        <v>https://www.moex.com/ru/issue.aspx?board=TQBR&amp;code=SBER</v>
      </c>
      <c r="L20" s="23">
        <f t="shared" si="2"/>
        <v>0.03024967426</v>
      </c>
      <c r="M20" s="24">
        <f>'Справочник'!$L$4/365*(H20-TODAY())</f>
        <v>0.03506849315</v>
      </c>
      <c r="N20" s="25">
        <f t="shared" si="3"/>
        <v>-0.004818818889</v>
      </c>
      <c r="O20" s="26">
        <f t="shared" si="4"/>
        <v>-0.004818818889</v>
      </c>
      <c r="P20" s="27"/>
      <c r="Q20" s="27"/>
    </row>
    <row r="21">
      <c r="A21" s="28" t="str">
        <f>IFERROR(__xludf.DUMMYFUNCTION("FILTER(Данные_по_фьючерсам[Фьючерсный контракт], Данные_по_фьючерсам[Фьючерсы на акции] = B21)"),"Фьючерский контракт на обыкновенные акции ПАО «Газпром нефть»")</f>
        <v>Фьючерский контракт на обыкновенные акции ПАО «Газпром нефть»</v>
      </c>
      <c r="B21" s="29" t="s">
        <v>34</v>
      </c>
      <c r="C21" s="30" t="str">
        <f>IFERROR(__xludf.DUMMYFUNCTION("FILTER(Данные_по_фьючерсам[Код инструмента], Данные_по_фьючерсам[Фьючерсы на акции] = B21)"),"SOZ5")</f>
        <v>SOZ5</v>
      </c>
      <c r="D21" s="31" t="str">
        <f>IFERROR(__xludf.DUMMYFUNCTION("FILTER(Данные_по_фьючерсам[Ссылка на инструмент], Данные_по_фьючерсам[Фьючерсы на акции] = B21)"),"https://www.moex.com/ru/contract.aspx?code=SOZ5")</f>
        <v>https://www.moex.com/ru/contract.aspx?code=SOZ5</v>
      </c>
      <c r="E21" s="32" t="str">
        <f>IFERROR(__xludf.DUMMYFUNCTION("FILTER('Фьючерсы на акции'!$B$4:$B30, 'Фьючерсы на акции'!$A$4:$A30 = B21)"),"4 874")</f>
        <v>4 874</v>
      </c>
      <c r="F21" s="33">
        <f>IFERROR(__xludf.DUMMYFUNCTION("IF(ISNUMBER(E21),E21,VALUE(REGEXREPLACE(REGEXREPLACE(E21,"" "",""""),"","",""."")))"),4874.0)</f>
        <v>4874</v>
      </c>
      <c r="G21" s="34">
        <f>IFERROR(__xludf.DUMMYFUNCTION("FILTER(Данные_по_фьючерсам[Объем лота], Данные_по_фьючерсам[Фьючерсы на акции] = B21)"),10.0)</f>
        <v>10</v>
      </c>
      <c r="H21" s="35">
        <f>IFERROR(__xludf.DUMMYFUNCTION("FILTER(Данные_по_фьючерсам[Дата экспирации], Данные_по_фьючерсам[Фьючерсы на акции] = B21)"),46010.0)</f>
        <v>46010</v>
      </c>
      <c r="I21" s="36" t="str">
        <f>IFERROR(__xludf.DUMMYFUNCTION("FILTER(Данные_по_фьючерсам[Базовый актив], Данные_по_фьючерсам[Фьючерсы на акции] = B21)"),"SIBN")</f>
        <v>SIBN</v>
      </c>
      <c r="J21" s="37">
        <f>IFERROR(__xludf.DUMMYFUNCTION("IMPORTxml(""https://iss.moex.com/iss/engines/stock/markets/shares/boards/TQBR/securities.xml?iss.meta=off&amp;iss.only=marketdata&amp;marketdata.columns=SECID,LAST"", concatenate(""//row[@SECID='"",$I21,""']/@LAST""))"),470.7)</f>
        <v>470.7</v>
      </c>
      <c r="K21" s="38" t="str">
        <f t="shared" si="1"/>
        <v>https://www.moex.com/ru/issue.aspx?board=TQBR&amp;code=SIBN</v>
      </c>
      <c r="L21" s="39">
        <f t="shared" si="2"/>
        <v>0.03547907372</v>
      </c>
      <c r="M21" s="40">
        <f>'Справочник'!$L$4/365*(H21-TODAY())</f>
        <v>0.03506849315</v>
      </c>
      <c r="N21" s="41">
        <f t="shared" si="3"/>
        <v>0.0004105805693</v>
      </c>
      <c r="O21" s="42">
        <f t="shared" si="4"/>
        <v>0.0004105805693</v>
      </c>
      <c r="P21" s="27"/>
      <c r="Q21" s="27"/>
    </row>
    <row r="22">
      <c r="A22" s="12" t="str">
        <f>IFERROR(__xludf.DUMMYFUNCTION("FILTER(Данные_по_фьючерсам[Фьючерсный контракт], Данные_по_фьючерсам[Фьючерсы на акции] = B22)"),"Фьючерсный контракт на привилегированные акции ПАО «Сургутнефтегаз»")</f>
        <v>Фьючерсный контракт на привилегированные акции ПАО «Сургутнефтегаз»</v>
      </c>
      <c r="B22" s="13" t="s">
        <v>35</v>
      </c>
      <c r="C22" s="43" t="str">
        <f>IFERROR(__xludf.DUMMYFUNCTION("FILTER(Данные_по_фьючерсам[Код инструмента], Данные_по_фьючерсам[Фьючерсы на акции] = B22)"),"SGZ5")</f>
        <v>SGZ5</v>
      </c>
      <c r="D22" s="15" t="str">
        <f>IFERROR(__xludf.DUMMYFUNCTION("FILTER(Данные_по_фьючерсам[Ссылка на инструмент], Данные_по_фьючерсам[Фьючерсы на акции] = B22)"),"https://www.moex.com/ru/contract.aspx?code=SGZ5")</f>
        <v>https://www.moex.com/ru/contract.aspx?code=SGZ5</v>
      </c>
      <c r="E22" s="16" t="str">
        <f>IFERROR(__xludf.DUMMYFUNCTION("FILTER('Фьючерсы на акции'!$B$4:$B30, 'Фьючерсы на акции'!$A$4:$A30 = B22)"),"38 051")</f>
        <v>38 051</v>
      </c>
      <c r="F22" s="17">
        <f>IFERROR(__xludf.DUMMYFUNCTION("IF(ISNUMBER(E22),E22,VALUE(REGEXREPLACE(REGEXREPLACE(E22,"" "",""""),"","",""."")))"),38051.0)</f>
        <v>38051</v>
      </c>
      <c r="G22" s="44">
        <f>IFERROR(__xludf.DUMMYFUNCTION("FILTER(Данные_по_фьючерсам[Объем лота], Данные_по_фьючерсам[Фьючерсы на акции] = B22)"),1000.0)</f>
        <v>1000</v>
      </c>
      <c r="H22" s="45">
        <f>IFERROR(__xludf.DUMMYFUNCTION("FILTER(Данные_по_фьючерсам[Дата экспирации], Данные_по_фьючерсам[Фьючерсы на акции] = B22)"),46010.0)</f>
        <v>46010</v>
      </c>
      <c r="I22" s="20" t="str">
        <f>IFERROR(__xludf.DUMMYFUNCTION("FILTER(Данные_по_фьючерсам[Базовый актив], Данные_по_фьючерсам[Фьючерсы на акции] = B22)"),"SNGSP")</f>
        <v>SNGSP</v>
      </c>
      <c r="J22" s="46">
        <f>IFERROR(__xludf.DUMMYFUNCTION("IMPORTxml(""https://iss.moex.com/iss/engines/stock/markets/shares/boards/TQBR/securities.xml?iss.meta=off&amp;iss.only=marketdata&amp;marketdata.columns=SECID,LAST"", concatenate(""//row[@SECID='"",$I22,""']/@LAST""))"),36.975)</f>
        <v>36.975</v>
      </c>
      <c r="K22" s="22" t="str">
        <f t="shared" si="1"/>
        <v>https://www.moex.com/ru/issue.aspx?board=TQBR&amp;code=SNGSP</v>
      </c>
      <c r="L22" s="23">
        <f t="shared" si="2"/>
        <v>0.02910074375</v>
      </c>
      <c r="M22" s="50">
        <f>'Справочник'!$L$4/365*(H22-TODAY())</f>
        <v>0.03506849315</v>
      </c>
      <c r="N22" s="25">
        <f t="shared" si="3"/>
        <v>-0.005967749405</v>
      </c>
      <c r="O22" s="51">
        <f t="shared" si="4"/>
        <v>-0.005967749405</v>
      </c>
      <c r="P22" s="27"/>
      <c r="Q22" s="27"/>
    </row>
    <row r="23">
      <c r="A23" s="28" t="str">
        <f>IFERROR(__xludf.DUMMYFUNCTION("FILTER(Данные_по_фьючерсам[Фьючерсный контракт], Данные_по_фьючерсам[Фьючерсы на акции] = B23)"),"Фьючерсный контракт на обыкновенные акции ПАО ""СПБ Биржа""")</f>
        <v>Фьючерсный контракт на обыкновенные акции ПАО "СПБ Биржа"</v>
      </c>
      <c r="B23" s="29" t="s">
        <v>36</v>
      </c>
      <c r="C23" s="30" t="str">
        <f>IFERROR(__xludf.DUMMYFUNCTION("FILTER(Данные_по_фьючерсам[Код инструмента], Данные_по_фьючерсам[Фьючерсы на акции] = B23)"),"SEZ5")</f>
        <v>SEZ5</v>
      </c>
      <c r="D23" s="31" t="str">
        <f>IFERROR(__xludf.DUMMYFUNCTION("FILTER(Данные_по_фьючерсам[Ссылка на инструмент], Данные_по_фьючерсам[Фьючерсы на акции] = B23)"),"https://www.moex.com/ru/contract.aspx?code=SEZ5")</f>
        <v>https://www.moex.com/ru/contract.aspx?code=SEZ5</v>
      </c>
      <c r="E23" s="32" t="str">
        <f>IFERROR(__xludf.DUMMYFUNCTION("FILTER('Фьючерсы на акции'!$B$4:$B30, 'Фьючерсы на акции'!$A$4:$A30 = B23)"),"2 086")</f>
        <v>2 086</v>
      </c>
      <c r="F23" s="33">
        <f>IFERROR(__xludf.DUMMYFUNCTION("IF(ISNUMBER(E23),E23,VALUE(REGEXREPLACE(REGEXREPLACE(E23,"" "",""""),"","",""."")))"),2086.0)</f>
        <v>2086</v>
      </c>
      <c r="G23" s="34">
        <f>IFERROR(__xludf.DUMMYFUNCTION("FILTER(Данные_по_фьючерсам[Объем лота], Данные_по_фьючерсам[Фьючерсы на акции] = B23)"),10.0)</f>
        <v>10</v>
      </c>
      <c r="H23" s="35">
        <f>IFERROR(__xludf.DUMMYFUNCTION("FILTER(Данные_по_фьючерсам[Дата экспирации], Данные_по_фьючерсам[Фьючерсы на акции] = B23)"),46010.0)</f>
        <v>46010</v>
      </c>
      <c r="I23" s="36" t="str">
        <f>IFERROR(__xludf.DUMMYFUNCTION("FILTER(Данные_по_фьючерсам[Базовый актив], Данные_по_фьючерсам[Фьючерсы на акции] = B23)"),"SPBE")</f>
        <v>SPBE</v>
      </c>
      <c r="J23" s="37">
        <f>IFERROR(__xludf.DUMMYFUNCTION("IMPORTxml(""https://iss.moex.com/iss/engines/stock/markets/shares/boards/TQBR/securities.xml?iss.meta=off&amp;iss.only=marketdata&amp;marketdata.columns=SECID,LAST"", concatenate(""//row[@SECID='"",$I23,""']/@LAST""))"),203.4)</f>
        <v>203.4</v>
      </c>
      <c r="K23" s="38" t="str">
        <f t="shared" si="1"/>
        <v>https://www.moex.com/ru/issue.aspx?board=TQBR&amp;code=SPBE</v>
      </c>
      <c r="L23" s="39">
        <f t="shared" si="2"/>
        <v>0.0255653884</v>
      </c>
      <c r="M23" s="52">
        <f>'Справочник'!$L$4/365*(H23-TODAY())</f>
        <v>0.03506849315</v>
      </c>
      <c r="N23" s="41">
        <f t="shared" si="3"/>
        <v>-0.009503104753</v>
      </c>
      <c r="O23" s="53">
        <f t="shared" si="4"/>
        <v>-0.009503104753</v>
      </c>
      <c r="P23" s="47"/>
      <c r="Q23" s="47"/>
    </row>
    <row r="24">
      <c r="A24" s="12" t="str">
        <f>IFERROR(__xludf.DUMMYFUNCTION("FILTER(Данные_по_фьючерсам[Фьючерсный контракт], Данные_по_фьючерсам[Фьючерсы на акции] = B24)"),"Фьючерсный контракт на обыкновенные акции ПАО «Татнефть» им. В.Д. Шашина")</f>
        <v>Фьючерсный контракт на обыкновенные акции ПАО «Татнефть» им. В.Д. Шашина</v>
      </c>
      <c r="B24" s="13" t="s">
        <v>37</v>
      </c>
      <c r="C24" s="43" t="str">
        <f>IFERROR(__xludf.DUMMYFUNCTION("FILTER(Данные_по_фьючерсам[Код инструмента], Данные_по_фьючерсам[Фьючерсы на акции] = B24)"),"TTZ5")</f>
        <v>TTZ5</v>
      </c>
      <c r="D24" s="15" t="str">
        <f>IFERROR(__xludf.DUMMYFUNCTION("FILTER(Данные_по_фьючерсам[Ссылка на инструмент], Данные_по_фьючерсам[Фьючерсы на акции] = B24)"),"https://www.moex.com/ru/contract.aspx?code=TTZ5")</f>
        <v>https://www.moex.com/ru/contract.aspx?code=TTZ5</v>
      </c>
      <c r="E24" s="16" t="str">
        <f>IFERROR(__xludf.DUMMYFUNCTION("FILTER('Фьючерсы на акции'!$B$4:$B30, 'Фьючерсы на акции'!$A$4:$A30 = B24)"),"55 981")</f>
        <v>55 981</v>
      </c>
      <c r="F24" s="17">
        <f>IFERROR(__xludf.DUMMYFUNCTION("IF(ISNUMBER(E24),E24,VALUE(REGEXREPLACE(REGEXREPLACE(E24,"" "",""""),"","",""."")))"),55981.0)</f>
        <v>55981</v>
      </c>
      <c r="G24" s="44">
        <f>IFERROR(__xludf.DUMMYFUNCTION("FILTER(Данные_по_фьючерсам[Объем лота], Данные_по_фьючерсам[Фьючерсы на акции] = B24)"),100.0)</f>
        <v>100</v>
      </c>
      <c r="H24" s="45">
        <f>IFERROR(__xludf.DUMMYFUNCTION("FILTER(Данные_по_фьючерсам[Дата экспирации], Данные_по_фьючерсам[Фьючерсы на акции] = B24)"),46010.0)</f>
        <v>46010</v>
      </c>
      <c r="I24" s="20" t="str">
        <f>IFERROR(__xludf.DUMMYFUNCTION("FILTER(Данные_по_фьючерсам[Базовый актив], Данные_по_фьючерсам[Фьючерсы на акции] = B24)"),"TATN")</f>
        <v>TATN</v>
      </c>
      <c r="J24" s="46">
        <f>IFERROR(__xludf.DUMMYFUNCTION("IMPORTxml(""https://iss.moex.com/iss/engines/stock/markets/shares/boards/TQBR/securities.xml?iss.meta=off&amp;iss.only=marketdata&amp;marketdata.columns=SECID,LAST"", concatenate(""//row[@SECID='"",$I24,""']/@LAST""))"),541.8)</f>
        <v>541.8</v>
      </c>
      <c r="K24" s="22" t="str">
        <f t="shared" si="1"/>
        <v>https://www.moex.com/ru/issue.aspx?board=TQBR&amp;code=TATN</v>
      </c>
      <c r="L24" s="23">
        <f t="shared" si="2"/>
        <v>0.03324104836</v>
      </c>
      <c r="M24" s="50">
        <f>'Справочник'!$L$4/365*(H24-TODAY())</f>
        <v>0.03506849315</v>
      </c>
      <c r="N24" s="25">
        <f t="shared" si="3"/>
        <v>-0.001827444793</v>
      </c>
      <c r="O24" s="51">
        <f t="shared" si="4"/>
        <v>-0.001827444793</v>
      </c>
      <c r="P24" s="27"/>
      <c r="Q24" s="27"/>
    </row>
    <row r="25">
      <c r="A25" s="28" t="str">
        <f>IFERROR(__xludf.DUMMYFUNCTION("FILTER(Данные_по_фьючерсам[Фьючерсный контракт], Данные_по_фьючерсам[Фьючерсы на акции] = B25)"),"Фьючерсный контракт на привилегированные акции ПАО «Татнефть» им. В.Д. 
Шашина")</f>
        <v>Фьючерсный контракт на привилегированные акции ПАО «Татнефть» им. В.Д. 
Шашина</v>
      </c>
      <c r="B25" s="29" t="s">
        <v>38</v>
      </c>
      <c r="C25" s="30" t="str">
        <f>IFERROR(__xludf.DUMMYFUNCTION("FILTER(Данные_по_фьючерсам[Код инструмента], Данные_по_фьючерсам[Фьючерсы на акции] = B25)"),"TPZ5")</f>
        <v>TPZ5</v>
      </c>
      <c r="D25" s="31" t="str">
        <f>IFERROR(__xludf.DUMMYFUNCTION("FILTER(Данные_по_фьючерсам[Ссылка на инструмент], Данные_по_фьючерсам[Фьючерсы на акции] = B25)"),"https://www.moex.com/ru/contract.aspx?code=TPZ5")</f>
        <v>https://www.moex.com/ru/contract.aspx?code=TPZ5</v>
      </c>
      <c r="E25" s="32" t="str">
        <f>IFERROR(__xludf.DUMMYFUNCTION("FILTER('Фьючерсы на акции'!$B$4:$B30, 'Фьючерсы на акции'!$A$4:$A30 = B25)"),"5 250")</f>
        <v>5 250</v>
      </c>
      <c r="F25" s="33">
        <f>IFERROR(__xludf.DUMMYFUNCTION("IF(ISNUMBER(E25),E25,VALUE(REGEXREPLACE(REGEXREPLACE(E25,"" "",""""),"","",""."")))"),5250.0)</f>
        <v>5250</v>
      </c>
      <c r="G25" s="34">
        <f>IFERROR(__xludf.DUMMYFUNCTION("FILTER(Данные_по_фьючерсам[Объем лота], Данные_по_фьючерсам[Фьючерсы на акции] = B25)"),10.0)</f>
        <v>10</v>
      </c>
      <c r="H25" s="35">
        <f>IFERROR(__xludf.DUMMYFUNCTION("FILTER(Данные_по_фьючерсам[Дата экспирации], Данные_по_фьючерсам[Фьючерсы на акции] = B25)"),46010.0)</f>
        <v>46010</v>
      </c>
      <c r="I25" s="36" t="str">
        <f>IFERROR(__xludf.DUMMYFUNCTION("FILTER(Данные_по_фьючерсам[Базовый актив], Данные_по_фьючерсам[Фьючерсы на акции] = B25)"),"TATNP")</f>
        <v>TATNP</v>
      </c>
      <c r="J25" s="48">
        <f>IFERROR(__xludf.DUMMYFUNCTION("IMPORTxml(""https://iss.moex.com/iss/engines/stock/markets/shares/boards/TQBR/securities.xml?iss.meta=off&amp;iss.only=marketdata&amp;marketdata.columns=SECID,LAST"", concatenate(""//row[@SECID='"",$I25,""']/@LAST""))"),510.4)</f>
        <v>510.4</v>
      </c>
      <c r="K25" s="38" t="str">
        <f t="shared" si="1"/>
        <v>https://www.moex.com/ru/issue.aspx?board=TQBR&amp;code=TATNP</v>
      </c>
      <c r="L25" s="39">
        <f t="shared" si="2"/>
        <v>0.02860501567</v>
      </c>
      <c r="M25" s="52">
        <f>'Справочник'!$L$4/365*(H25-TODAY())</f>
        <v>0.03506849315</v>
      </c>
      <c r="N25" s="41">
        <f t="shared" si="3"/>
        <v>-0.006463477477</v>
      </c>
      <c r="O25" s="53">
        <f t="shared" si="4"/>
        <v>-0.006463477477</v>
      </c>
      <c r="P25" s="27"/>
      <c r="Q25" s="27"/>
    </row>
    <row r="26">
      <c r="A26" s="12" t="str">
        <f>IFERROR(__xludf.DUMMYFUNCTION("FILTER(Данные_по_фьючерсам[Фьючерсный контракт], Данные_по_фьючерсам[Фьючерсы на акции] = B26)"),"Фьючерсный контракт на привилегированные акции ПАО «Транснефть»")</f>
        <v>Фьючерсный контракт на привилегированные акции ПАО «Транснефть»</v>
      </c>
      <c r="B26" s="13" t="s">
        <v>39</v>
      </c>
      <c r="C26" s="43" t="str">
        <f>IFERROR(__xludf.DUMMYFUNCTION("FILTER(Данные_по_фьючерсам[Код инструмента], Данные_по_фьючерсам[Фьючерсы на акции] = B26)"),"TNZ5")</f>
        <v>TNZ5</v>
      </c>
      <c r="D26" s="15" t="str">
        <f>IFERROR(__xludf.DUMMYFUNCTION("FILTER(Данные_по_фьючерсам[Ссылка на инструмент], Данные_по_фьючерсам[Фьючерсы на акции] = B26)"),"https://www.moex.com/ru/contract.aspx?code=TNZ5")</f>
        <v>https://www.moex.com/ru/contract.aspx?code=TNZ5</v>
      </c>
      <c r="E26" s="16" t="str">
        <f>IFERROR(__xludf.DUMMYFUNCTION("FILTER('Фьючерсы на акции'!$B$4:$B30, 'Фьючерсы на акции'!$A$4:$A30 = B26)"),"1 269")</f>
        <v>1 269</v>
      </c>
      <c r="F26" s="17">
        <f>IFERROR(__xludf.DUMMYFUNCTION("IF(ISNUMBER(E26),E26,VALUE(REGEXREPLACE(REGEXREPLACE(E26,"" "",""""),"","",""."")))"),1269.0)</f>
        <v>1269</v>
      </c>
      <c r="G26" s="44">
        <f>IFERROR(__xludf.DUMMYFUNCTION("FILTER(Данные_по_фьючерсам[Объем лота], Данные_по_фьючерсам[Фьючерсы на акции] = B26)"),1.0)</f>
        <v>1</v>
      </c>
      <c r="H26" s="45">
        <f>IFERROR(__xludf.DUMMYFUNCTION("FILTER(Данные_по_фьючерсам[Дата экспирации], Данные_по_фьючерсам[Фьючерсы на акции] = B26)"),46010.0)</f>
        <v>46010</v>
      </c>
      <c r="I26" s="20" t="str">
        <f>IFERROR(__xludf.DUMMYFUNCTION("FILTER(Данные_по_фьючерсам[Базовый актив], Данные_по_фьючерсам[Фьючерсы на акции] = B26)"),"TRNFP")</f>
        <v>TRNFP</v>
      </c>
      <c r="J26" s="46">
        <f>IFERROR(__xludf.DUMMYFUNCTION("IMPORTxml(""https://iss.moex.com/iss/engines/stock/markets/shares/boards/TQBR/securities.xml?iss.meta=off&amp;iss.only=marketdata&amp;marketdata.columns=SECID,LAST"", concatenate(""//row[@SECID='"",$I26,""']/@LAST""))"),1228.0)</f>
        <v>1228</v>
      </c>
      <c r="K26" s="22" t="str">
        <f t="shared" si="1"/>
        <v>https://www.moex.com/ru/issue.aspx?board=TQBR&amp;code=TRNFP</v>
      </c>
      <c r="L26" s="23">
        <f t="shared" si="2"/>
        <v>0.03338762215</v>
      </c>
      <c r="M26" s="50">
        <f>'Справочник'!$L$4/365*(H26-TODAY())</f>
        <v>0.03506849315</v>
      </c>
      <c r="N26" s="25">
        <f t="shared" si="3"/>
        <v>-0.001680871001</v>
      </c>
      <c r="O26" s="51">
        <f t="shared" si="4"/>
        <v>-0.001680871001</v>
      </c>
      <c r="P26" s="27"/>
      <c r="Q26" s="27"/>
    </row>
    <row r="27">
      <c r="A27" s="28" t="str">
        <f>IFERROR(__xludf.DUMMYFUNCTION("FILTER(Данные_по_фьючерсам[Фьючерсный контракт], Данные_по_фьючерсам[Фьючерсы на акции] = B27)"),"Фьючерсный контракт на обыкновенные акции МКПАО «ВК»")</f>
        <v>Фьючерсный контракт на обыкновенные акции МКПАО «ВК»</v>
      </c>
      <c r="B27" s="29" t="s">
        <v>40</v>
      </c>
      <c r="C27" s="30" t="str">
        <f>IFERROR(__xludf.DUMMYFUNCTION("FILTER(Данные_по_фьючерсам[Код инструмента], Данные_по_фьючерсам[Фьючерсы на акции] = B27)"),"VKZ5")</f>
        <v>VKZ5</v>
      </c>
      <c r="D27" s="31" t="str">
        <f>IFERROR(__xludf.DUMMYFUNCTION("FILTER(Данные_по_фьючерсам[Ссылка на инструмент], Данные_по_фьючерсам[Фьючерсы на акции] = B27)"),"https://www.moex.com/ru/contract.aspx?code=VKZ5")</f>
        <v>https://www.moex.com/ru/contract.aspx?code=VKZ5</v>
      </c>
      <c r="E27" s="32" t="str">
        <f>IFERROR(__xludf.DUMMYFUNCTION("FILTER('Фьючерсы на акции'!$B$4:$B30, 'Фьючерсы на акции'!$A$4:$A30 = B27)"),"2 570")</f>
        <v>2 570</v>
      </c>
      <c r="F27" s="33">
        <f>IFERROR(__xludf.DUMMYFUNCTION("IF(ISNUMBER(E27),E27,VALUE(REGEXREPLACE(REGEXREPLACE(E27,"" "",""""),"","",""."")))"),2570.0)</f>
        <v>2570</v>
      </c>
      <c r="G27" s="34">
        <f>IFERROR(__xludf.DUMMYFUNCTION("FILTER(Данные_по_фьючерсам[Объем лота], Данные_по_фьючерсам[Фьючерсы на акции] = B27)"),10.0)</f>
        <v>10</v>
      </c>
      <c r="H27" s="35">
        <f>IFERROR(__xludf.DUMMYFUNCTION("FILTER(Данные_по_фьючерсам[Дата экспирации], Данные_по_фьючерсам[Фьючерсы на акции] = B27)"),46010.0)</f>
        <v>46010</v>
      </c>
      <c r="I27" s="36" t="str">
        <f>IFERROR(__xludf.DUMMYFUNCTION("FILTER(Данные_по_фьючерсам[Базовый актив], Данные_по_фьючерсам[Фьючерсы на акции] = B27)"),"VKCO")</f>
        <v>VKCO</v>
      </c>
      <c r="J27" s="37">
        <f>IFERROR(__xludf.DUMMYFUNCTION("IMPORTxml(""https://iss.moex.com/iss/engines/stock/markets/shares/boards/TQBR/securities.xml?iss.meta=off&amp;iss.only=marketdata&amp;marketdata.columns=SECID,LAST"", concatenate(""//row[@SECID='"",$I27,""']/@LAST""))"),250.1)</f>
        <v>250.1</v>
      </c>
      <c r="K27" s="38" t="str">
        <f t="shared" si="1"/>
        <v>https://www.moex.com/ru/issue.aspx?board=TQBR&amp;code=VKCO</v>
      </c>
      <c r="L27" s="39">
        <f t="shared" si="2"/>
        <v>0.02758896441</v>
      </c>
      <c r="M27" s="52">
        <f>'Справочник'!$L$4/365*(H27-TODAY())</f>
        <v>0.03506849315</v>
      </c>
      <c r="N27" s="41">
        <f t="shared" si="3"/>
        <v>-0.007479528736</v>
      </c>
      <c r="O27" s="53">
        <f t="shared" si="4"/>
        <v>-0.007479528736</v>
      </c>
      <c r="P27" s="27"/>
      <c r="Q27" s="27"/>
    </row>
    <row r="28">
      <c r="A28" s="54" t="str">
        <f>IFERROR(__xludf.DUMMYFUNCTION("FILTER(Данные_по_фьючерсам[Фьючерсный контракт], Данные_по_фьючерсам[Фьючерсы на акции] = B28)"),"Фьючерсный контракт на обыкновенные акции Банк ВТБ")</f>
        <v>Фьючерсный контракт на обыкновенные акции Банк ВТБ</v>
      </c>
      <c r="B28" s="55" t="s">
        <v>41</v>
      </c>
      <c r="C28" s="56" t="str">
        <f>IFERROR(__xludf.DUMMYFUNCTION("FILTER(Данные_по_фьючерсам[Код инструмента], Данные_по_фьючерсам[Фьючерсы на акции] = B28)"),"VBZ5")</f>
        <v>VBZ5</v>
      </c>
      <c r="D28" s="57" t="str">
        <f>IFERROR(__xludf.DUMMYFUNCTION("FILTER(Данные_по_фьючерсам[Ссылка на инструмент], Данные_по_фьючерсам[Фьючерсы на акции] = B28)"),"https://www.moex.com/ru/contract.aspx?code=VBZ5")</f>
        <v>https://www.moex.com/ru/contract.aspx?code=VBZ5</v>
      </c>
      <c r="E28" s="58" t="str">
        <f>IFERROR(__xludf.DUMMYFUNCTION("FILTER('Фьючерсы на акции'!$B$4:$B30, 'Фьючерсы на акции'!$A$4:$A30 = B28)"),"6 968")</f>
        <v>6 968</v>
      </c>
      <c r="F28" s="59">
        <f>IFERROR(__xludf.DUMMYFUNCTION("IF(ISNUMBER(E28),E28,VALUE(REGEXREPLACE(REGEXREPLACE(E28,"" "",""""),"","",""."")))"),6968.0)</f>
        <v>6968</v>
      </c>
      <c r="G28" s="60">
        <f>IFERROR(__xludf.DUMMYFUNCTION("FILTER(Данные_по_фьючерсам[Объем лота], Данные_по_фьючерсам[Фьючерсы на акции] = B28)"),100.0)</f>
        <v>100</v>
      </c>
      <c r="H28" s="61">
        <f>IFERROR(__xludf.DUMMYFUNCTION("FILTER(Данные_по_фьючерсам[Дата экспирации], Данные_по_фьючерсам[Фьючерсы на акции] = B28)"),46010.0)</f>
        <v>46010</v>
      </c>
      <c r="I28" s="62" t="str">
        <f>IFERROR(__xludf.DUMMYFUNCTION("FILTER(Данные_по_фьючерсам[Базовый актив], Данные_по_фьючерсам[Фьючерсы на акции] = B28)"),"VTBR")</f>
        <v>VTBR</v>
      </c>
      <c r="J28" s="63">
        <f>IFERROR(__xludf.DUMMYFUNCTION("IMPORTxml(""https://iss.moex.com/iss/engines/stock/markets/shares/boards/TQBR/securities.xml?iss.meta=off&amp;iss.only=marketdata&amp;marketdata.columns=SECID,LAST"", concatenate(""//row[@SECID='"",$I28,""']/@LAST""))"),67.6)</f>
        <v>67.6</v>
      </c>
      <c r="K28" s="64" t="str">
        <f t="shared" si="1"/>
        <v>https://www.moex.com/ru/issue.aspx?board=TQBR&amp;code=VTBR</v>
      </c>
      <c r="L28" s="65">
        <f t="shared" si="2"/>
        <v>0.03076923077</v>
      </c>
      <c r="M28" s="66">
        <f>'Справочник'!$L$4/365*(H28-TODAY())</f>
        <v>0.03506849315</v>
      </c>
      <c r="N28" s="67">
        <f t="shared" si="3"/>
        <v>-0.004299262381</v>
      </c>
      <c r="O28" s="68">
        <f t="shared" si="4"/>
        <v>-0.004299262381</v>
      </c>
      <c r="P28" s="47"/>
      <c r="Q28" s="47"/>
    </row>
    <row r="29">
      <c r="P29" s="47"/>
      <c r="Q29" s="47"/>
    </row>
    <row r="30">
      <c r="P30" s="47"/>
      <c r="Q30" s="47"/>
    </row>
  </sheetData>
  <conditionalFormatting sqref="B2:B28">
    <cfRule type="expression" dxfId="0" priority="1">
      <formula>ОШИБКА()</formula>
    </cfRule>
  </conditionalFormatting>
  <dataValidations>
    <dataValidation type="custom" allowBlank="1" showDropDown="1" sqref="H2:H28">
      <formula1>OR(NOT(ISERROR(DATEVALUE(H2))), AND(ISNUMBER(H2), LEFT(CELL("format", H2))="D"))</formula1>
    </dataValidation>
    <dataValidation type="custom" allowBlank="1" showDropDown="1" sqref="L2:M28 O2:O28">
      <formula1>AND(ISNUMBER(L2),(NOT(OR(NOT(ISERROR(DATEVALUE(L2))), AND(ISNUMBER(L2), LEFT(CELL("format", L2))="D")))))</formula1>
    </dataValidation>
    <dataValidation type="list" allowBlank="1" sqref="B2:B28">
      <formula1>#REF!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8.13"/>
    <col customWidth="1" min="2" max="2" width="14.25"/>
    <col customWidth="1" min="3" max="3" width="16.13"/>
    <col customWidth="1" min="6" max="6" width="16.38"/>
    <col customWidth="1" min="9" max="9" width="5.63"/>
  </cols>
  <sheetData>
    <row r="1">
      <c r="A1" s="69"/>
      <c r="B1" s="70"/>
      <c r="C1" s="70"/>
      <c r="D1" s="70"/>
      <c r="E1" s="70"/>
      <c r="F1" s="70"/>
      <c r="G1" s="71"/>
      <c r="H1" s="72" t="s">
        <v>42</v>
      </c>
      <c r="I1" s="73"/>
    </row>
    <row r="2" ht="83.25" customHeight="1">
      <c r="A2" s="74" t="s">
        <v>43</v>
      </c>
      <c r="G2" s="75"/>
      <c r="H2" s="75"/>
      <c r="I2" s="73"/>
    </row>
    <row r="3">
      <c r="A3" s="76" t="str">
        <f>IFERROR(__xludf.DUMMYFUNCTION("IMPORTHTML(""https://www.moex.com/ru/derivatives/equity/stocks/"",""table"",3)"),"")</f>
        <v/>
      </c>
      <c r="B3" s="70" t="str">
        <f>IFERROR(__xludf.DUMMYFUNCTION("""COMPUTED_VALUE"""),"Последняя
сделка")</f>
        <v>Последняя
сделка</v>
      </c>
      <c r="C3" s="70" t="str">
        <f>IFERROR(__xludf.DUMMYFUNCTION("""COMPUTED_VALUE"""),"Изменение
к закрытию")</f>
        <v>Изменение
к закрытию</v>
      </c>
      <c r="D3" s="70" t="str">
        <f>IFERROR(__xludf.DUMMYFUNCTION("""COMPUTED_VALUE"""),"Макс.
за день")</f>
        <v>Макс.
за день</v>
      </c>
      <c r="E3" s="70" t="str">
        <f>IFERROR(__xludf.DUMMYFUNCTION("""COMPUTED_VALUE"""),"Мин.
за день")</f>
        <v>Мин.
за день</v>
      </c>
      <c r="F3" s="70" t="str">
        <f>IFERROR(__xludf.DUMMYFUNCTION("""COMPUTED_VALUE"""),"Объем торгов 
(контр.)")</f>
        <v>Объем торгов 
(контр.)</v>
      </c>
      <c r="G3" s="71" t="str">
        <f>IFERROR(__xludf.DUMMYFUNCTION("""COMPUTED_VALUE"""),"Число
сделок")</f>
        <v>Число
сделок</v>
      </c>
      <c r="H3" s="70" t="str">
        <f>IFERROR(__xludf.DUMMYFUNCTION("""COMPUTED_VALUE"""),"Открытых
позиций")</f>
        <v>Открытых
позиций</v>
      </c>
      <c r="I3" s="73"/>
    </row>
    <row r="4">
      <c r="A4" s="77" t="str">
        <f>IFERROR(__xludf.DUMMYFUNCTION("""COMPUTED_VALUE"""),"*Фьючерсный контракт на обыкновенные акции ПАО ""Аэрофлот""*")</f>
        <v>*Фьючерсный контракт на обыкновенные акции ПАО "Аэрофлот"*</v>
      </c>
      <c r="B4" s="73"/>
      <c r="C4" s="73"/>
      <c r="D4" s="73"/>
      <c r="E4" s="76"/>
      <c r="F4" s="73"/>
      <c r="G4" s="73"/>
      <c r="H4" s="73"/>
      <c r="I4" s="73"/>
    </row>
    <row r="5">
      <c r="A5" s="77" t="str">
        <f>IFERROR(__xludf.DUMMYFUNCTION("""COMPUTED_VALUE"""),"AFLT-12.25")</f>
        <v>AFLT-12.25</v>
      </c>
      <c r="B5" s="73" t="str">
        <f>IFERROR(__xludf.DUMMYFUNCTION("""COMPUTED_VALUE"""),"5 169")</f>
        <v>5 169</v>
      </c>
      <c r="C5" s="73" t="str">
        <f>IFERROR(__xludf.DUMMYFUNCTION("""COMPUTED_VALUE"""),"-1,64%")</f>
        <v>-1,64%</v>
      </c>
      <c r="D5" s="73" t="str">
        <f>IFERROR(__xludf.DUMMYFUNCTION("""COMPUTED_VALUE"""),"5 271")</f>
        <v>5 271</v>
      </c>
      <c r="E5" s="73" t="str">
        <f>IFERROR(__xludf.DUMMYFUNCTION("""COMPUTED_VALUE"""),"5 165")</f>
        <v>5 165</v>
      </c>
      <c r="F5" s="73" t="str">
        <f>IFERROR(__xludf.DUMMYFUNCTION("""COMPUTED_VALUE"""),"6 757")</f>
        <v>6 757</v>
      </c>
      <c r="G5" s="73" t="str">
        <f>IFERROR(__xludf.DUMMYFUNCTION("""COMPUTED_VALUE"""),"1 090")</f>
        <v>1 090</v>
      </c>
      <c r="H5" s="73" t="str">
        <f>IFERROR(__xludf.DUMMYFUNCTION("""COMPUTED_VALUE"""),"79 024")</f>
        <v>79 024</v>
      </c>
      <c r="I5" s="73"/>
    </row>
    <row r="6">
      <c r="A6" s="77" t="str">
        <f>IFERROR(__xludf.DUMMYFUNCTION("""COMPUTED_VALUE"""),"AFLT-3.26")</f>
        <v>AFLT-3.26</v>
      </c>
      <c r="B6" s="73" t="str">
        <f>IFERROR(__xludf.DUMMYFUNCTION("""COMPUTED_VALUE"""),"5 436")</f>
        <v>5 436</v>
      </c>
      <c r="C6" s="73" t="str">
        <f>IFERROR(__xludf.DUMMYFUNCTION("""COMPUTED_VALUE"""),"-0,55%")</f>
        <v>-0,55%</v>
      </c>
      <c r="D6" s="73" t="str">
        <f>IFERROR(__xludf.DUMMYFUNCTION("""COMPUTED_VALUE"""),"5 463")</f>
        <v>5 463</v>
      </c>
      <c r="E6" s="73" t="str">
        <f>IFERROR(__xludf.DUMMYFUNCTION("""COMPUTED_VALUE"""),"5 386")</f>
        <v>5 386</v>
      </c>
      <c r="F6" s="73">
        <f>IFERROR(__xludf.DUMMYFUNCTION("""COMPUTED_VALUE"""),45.0)</f>
        <v>45</v>
      </c>
      <c r="G6" s="73">
        <f>IFERROR(__xludf.DUMMYFUNCTION("""COMPUTED_VALUE"""),21.0)</f>
        <v>21</v>
      </c>
      <c r="H6" s="73" t="str">
        <f>IFERROR(__xludf.DUMMYFUNCTION("""COMPUTED_VALUE"""),"1 650")</f>
        <v>1 650</v>
      </c>
      <c r="I6" s="73"/>
    </row>
    <row r="7">
      <c r="A7" s="77" t="str">
        <f>IFERROR(__xludf.DUMMYFUNCTION("""COMPUTED_VALUE"""),"*Фьючерсный контракт на обыкновенные акции ПАО «Акционерная финансовая 
корпорация «Система»*")</f>
        <v>*Фьючерсный контракт на обыкновенные акции ПАО «Акционерная финансовая 
корпорация «Система»*</v>
      </c>
      <c r="B7" s="73"/>
      <c r="C7" s="73"/>
      <c r="D7" s="73"/>
      <c r="E7" s="73"/>
      <c r="F7" s="73"/>
      <c r="G7" s="73"/>
      <c r="H7" s="73"/>
      <c r="I7" s="73"/>
    </row>
    <row r="8">
      <c r="A8" s="77" t="str">
        <f>IFERROR(__xludf.DUMMYFUNCTION("""COMPUTED_VALUE"""),"AFKS-12.25")</f>
        <v>AFKS-12.25</v>
      </c>
      <c r="B8" s="73" t="str">
        <f>IFERROR(__xludf.DUMMYFUNCTION("""COMPUTED_VALUE"""),"12 653")</f>
        <v>12 653</v>
      </c>
      <c r="C8" s="73" t="str">
        <f>IFERROR(__xludf.DUMMYFUNCTION("""COMPUTED_VALUE"""),"+0,83%")</f>
        <v>+0,83%</v>
      </c>
      <c r="D8" s="73" t="str">
        <f>IFERROR(__xludf.DUMMYFUNCTION("""COMPUTED_VALUE"""),"12 831")</f>
        <v>12 831</v>
      </c>
      <c r="E8" s="73" t="str">
        <f>IFERROR(__xludf.DUMMYFUNCTION("""COMPUTED_VALUE"""),"12 434")</f>
        <v>12 434</v>
      </c>
      <c r="F8" s="73" t="str">
        <f>IFERROR(__xludf.DUMMYFUNCTION("""COMPUTED_VALUE"""),"1 852")</f>
        <v>1 852</v>
      </c>
      <c r="G8" s="73">
        <f>IFERROR(__xludf.DUMMYFUNCTION("""COMPUTED_VALUE"""),629.0)</f>
        <v>629</v>
      </c>
      <c r="H8" s="73" t="str">
        <f>IFERROR(__xludf.DUMMYFUNCTION("""COMPUTED_VALUE"""),"16 154")</f>
        <v>16 154</v>
      </c>
      <c r="I8" s="73"/>
    </row>
    <row r="9">
      <c r="A9" s="77" t="str">
        <f>IFERROR(__xludf.DUMMYFUNCTION("""COMPUTED_VALUE"""),"AFKS-3.26")</f>
        <v>AFKS-3.26</v>
      </c>
      <c r="B9" s="73" t="str">
        <f>IFERROR(__xludf.DUMMYFUNCTION("""COMPUTED_VALUE"""),"13 272")</f>
        <v>13 272</v>
      </c>
      <c r="C9" s="73" t="str">
        <f>IFERROR(__xludf.DUMMYFUNCTION("""COMPUTED_VALUE"""),"+0,46%")</f>
        <v>+0,46%</v>
      </c>
      <c r="D9" s="73" t="str">
        <f>IFERROR(__xludf.DUMMYFUNCTION("""COMPUTED_VALUE"""),"13 272")</f>
        <v>13 272</v>
      </c>
      <c r="E9" s="73" t="str">
        <f>IFERROR(__xludf.DUMMYFUNCTION("""COMPUTED_VALUE"""),"12 962")</f>
        <v>12 962</v>
      </c>
      <c r="F9" s="73">
        <f>IFERROR(__xludf.DUMMYFUNCTION("""COMPUTED_VALUE"""),18.0)</f>
        <v>18</v>
      </c>
      <c r="G9" s="73">
        <f>IFERROR(__xludf.DUMMYFUNCTION("""COMPUTED_VALUE"""),12.0)</f>
        <v>12</v>
      </c>
      <c r="H9" s="73">
        <f>IFERROR(__xludf.DUMMYFUNCTION("""COMPUTED_VALUE"""),420.0)</f>
        <v>420</v>
      </c>
      <c r="I9" s="73"/>
    </row>
    <row r="10">
      <c r="A10" s="77" t="str">
        <f>IFERROR(__xludf.DUMMYFUNCTION("""COMPUTED_VALUE"""),"*Фьючерсный контракт на обыкновенные акции АК ""АЛРОСА"" (ПАО)*")</f>
        <v>*Фьючерсный контракт на обыкновенные акции АК "АЛРОСА" (ПАО)*</v>
      </c>
      <c r="B10" s="73"/>
      <c r="C10" s="73"/>
      <c r="D10" s="73"/>
      <c r="E10" s="73"/>
      <c r="F10" s="73"/>
      <c r="G10" s="73"/>
      <c r="H10" s="73"/>
      <c r="I10" s="76"/>
    </row>
    <row r="11">
      <c r="A11" s="77" t="str">
        <f>IFERROR(__xludf.DUMMYFUNCTION("""COMPUTED_VALUE"""),"ALRS-12.25")</f>
        <v>ALRS-12.25</v>
      </c>
      <c r="B11" s="73" t="str">
        <f>IFERROR(__xludf.DUMMYFUNCTION("""COMPUTED_VALUE"""),"4 111")</f>
        <v>4 111</v>
      </c>
      <c r="C11" s="73" t="str">
        <f>IFERROR(__xludf.DUMMYFUNCTION("""COMPUTED_VALUE"""),"+0,02%")</f>
        <v>+0,02%</v>
      </c>
      <c r="D11" s="73" t="str">
        <f>IFERROR(__xludf.DUMMYFUNCTION("""COMPUTED_VALUE"""),"4 160")</f>
        <v>4 160</v>
      </c>
      <c r="E11" s="73" t="str">
        <f>IFERROR(__xludf.DUMMYFUNCTION("""COMPUTED_VALUE"""),"4 097")</f>
        <v>4 097</v>
      </c>
      <c r="F11" s="73" t="str">
        <f>IFERROR(__xludf.DUMMYFUNCTION("""COMPUTED_VALUE"""),"3 698")</f>
        <v>3 698</v>
      </c>
      <c r="G11" s="73">
        <f>IFERROR(__xludf.DUMMYFUNCTION("""COMPUTED_VALUE"""),964.0)</f>
        <v>964</v>
      </c>
      <c r="H11" s="73" t="str">
        <f>IFERROR(__xludf.DUMMYFUNCTION("""COMPUTED_VALUE"""),"140 516")</f>
        <v>140 516</v>
      </c>
      <c r="I11" s="73"/>
    </row>
    <row r="12">
      <c r="A12" s="77" t="str">
        <f>IFERROR(__xludf.DUMMYFUNCTION("""COMPUTED_VALUE"""),"ALRS-3.26")</f>
        <v>ALRS-3.26</v>
      </c>
      <c r="B12" s="73" t="str">
        <f>IFERROR(__xludf.DUMMYFUNCTION("""COMPUTED_VALUE"""),"4 287")</f>
        <v>4 287</v>
      </c>
      <c r="C12" s="73" t="str">
        <f>IFERROR(__xludf.DUMMYFUNCTION("""COMPUTED_VALUE"""),"+0,05%")</f>
        <v>+0,05%</v>
      </c>
      <c r="D12" s="73" t="str">
        <f>IFERROR(__xludf.DUMMYFUNCTION("""COMPUTED_VALUE"""),"4 318")</f>
        <v>4 318</v>
      </c>
      <c r="E12" s="73" t="str">
        <f>IFERROR(__xludf.DUMMYFUNCTION("""COMPUTED_VALUE"""),"4 287")</f>
        <v>4 287</v>
      </c>
      <c r="F12" s="73">
        <f>IFERROR(__xludf.DUMMYFUNCTION("""COMPUTED_VALUE"""),11.0)</f>
        <v>11</v>
      </c>
      <c r="G12" s="73">
        <f>IFERROR(__xludf.DUMMYFUNCTION("""COMPUTED_VALUE"""),3.0)</f>
        <v>3</v>
      </c>
      <c r="H12" s="73" t="str">
        <f>IFERROR(__xludf.DUMMYFUNCTION("""COMPUTED_VALUE"""),"1 646")</f>
        <v>1 646</v>
      </c>
      <c r="I12" s="73"/>
    </row>
    <row r="13">
      <c r="A13" s="77" t="str">
        <f>IFERROR(__xludf.DUMMYFUNCTION("""COMPUTED_VALUE"""),"*Фьючерсный контракт на обыкновенные акции ПАО Группа Астра*")</f>
        <v>*Фьючерсный контракт на обыкновенные акции ПАО Группа Астра*</v>
      </c>
      <c r="B13" s="73"/>
      <c r="C13" s="73"/>
      <c r="D13" s="73"/>
      <c r="E13" s="73"/>
      <c r="F13" s="73"/>
      <c r="G13" s="73"/>
      <c r="H13" s="73"/>
      <c r="I13" s="73"/>
    </row>
    <row r="14">
      <c r="A14" s="77" t="str">
        <f>IFERROR(__xludf.DUMMYFUNCTION("""COMPUTED_VALUE"""),"ASTR-12.25")</f>
        <v>ASTR-12.25</v>
      </c>
      <c r="B14" s="73">
        <f>IFERROR(__xludf.DUMMYFUNCTION("""COMPUTED_VALUE"""),282.0)</f>
        <v>282</v>
      </c>
      <c r="C14" s="73" t="str">
        <f>IFERROR(__xludf.DUMMYFUNCTION("""COMPUTED_VALUE"""),"+0,71%")</f>
        <v>+0,71%</v>
      </c>
      <c r="D14" s="73">
        <f>IFERROR(__xludf.DUMMYFUNCTION("""COMPUTED_VALUE"""),284.0)</f>
        <v>284</v>
      </c>
      <c r="E14" s="73">
        <f>IFERROR(__xludf.DUMMYFUNCTION("""COMPUTED_VALUE"""),278.0)</f>
        <v>278</v>
      </c>
      <c r="F14" s="73" t="str">
        <f>IFERROR(__xludf.DUMMYFUNCTION("""COMPUTED_VALUE"""),"57 439")</f>
        <v>57 439</v>
      </c>
      <c r="G14" s="73">
        <f>IFERROR(__xludf.DUMMYFUNCTION("""COMPUTED_VALUE"""),471.0)</f>
        <v>471</v>
      </c>
      <c r="H14" s="73" t="str">
        <f>IFERROR(__xludf.DUMMYFUNCTION("""COMPUTED_VALUE"""),"594 534")</f>
        <v>594 534</v>
      </c>
      <c r="I14" s="73"/>
    </row>
    <row r="15">
      <c r="A15" s="77" t="str">
        <f>IFERROR(__xludf.DUMMYFUNCTION("""COMPUTED_VALUE"""),"ASTR-3.26")</f>
        <v>ASTR-3.26</v>
      </c>
      <c r="B15" s="73">
        <f>IFERROR(__xludf.DUMMYFUNCTION("""COMPUTED_VALUE"""),294.0)</f>
        <v>294</v>
      </c>
      <c r="C15" s="73" t="str">
        <f>IFERROR(__xludf.DUMMYFUNCTION("""COMPUTED_VALUE"""),"+0,68%")</f>
        <v>+0,68%</v>
      </c>
      <c r="D15" s="73">
        <f>IFERROR(__xludf.DUMMYFUNCTION("""COMPUTED_VALUE"""),296.0)</f>
        <v>296</v>
      </c>
      <c r="E15" s="73">
        <f>IFERROR(__xludf.DUMMYFUNCTION("""COMPUTED_VALUE"""),293.0)</f>
        <v>293</v>
      </c>
      <c r="F15" s="73">
        <f>IFERROR(__xludf.DUMMYFUNCTION("""COMPUTED_VALUE"""),59.0)</f>
        <v>59</v>
      </c>
      <c r="G15" s="73">
        <f>IFERROR(__xludf.DUMMYFUNCTION("""COMPUTED_VALUE"""),21.0)</f>
        <v>21</v>
      </c>
      <c r="H15" s="73" t="str">
        <f>IFERROR(__xludf.DUMMYFUNCTION("""COMPUTED_VALUE"""),"3 950")</f>
        <v>3 950</v>
      </c>
      <c r="I15" s="73"/>
    </row>
    <row r="16">
      <c r="A16" s="78" t="str">
        <f>IFERROR(__xludf.DUMMYFUNCTION("""COMPUTED_VALUE"""),"*Фьючерсный контракт на обыкновенные акции ПАО АНК ""Башнефть""*")</f>
        <v>*Фьючерсный контракт на обыкновенные акции ПАО АНК "Башнефть"*</v>
      </c>
      <c r="B16" s="79"/>
      <c r="C16" s="79"/>
      <c r="D16" s="79"/>
      <c r="E16" s="79"/>
      <c r="F16" s="79"/>
      <c r="G16" s="79"/>
      <c r="H16" s="79"/>
      <c r="I16" s="73"/>
    </row>
    <row r="17">
      <c r="A17" s="77" t="str">
        <f>IFERROR(__xludf.DUMMYFUNCTION("""COMPUTED_VALUE"""),"BANE-12.25")</f>
        <v>BANE-12.25</v>
      </c>
      <c r="B17" s="73" t="str">
        <f>IFERROR(__xludf.DUMMYFUNCTION("""COMPUTED_VALUE"""),"1 407")</f>
        <v>1 407</v>
      </c>
      <c r="C17" s="73" t="str">
        <f>IFERROR(__xludf.DUMMYFUNCTION("""COMPUTED_VALUE"""),"+0,14%")</f>
        <v>+0,14%</v>
      </c>
      <c r="D17" s="73" t="str">
        <f>IFERROR(__xludf.DUMMYFUNCTION("""COMPUTED_VALUE"""),"1 416")</f>
        <v>1 416</v>
      </c>
      <c r="E17" s="73" t="str">
        <f>IFERROR(__xludf.DUMMYFUNCTION("""COMPUTED_VALUE"""),"1 388")</f>
        <v>1 388</v>
      </c>
      <c r="F17" s="73" t="str">
        <f>IFERROR(__xludf.DUMMYFUNCTION("""COMPUTED_VALUE"""),"1 587")</f>
        <v>1 587</v>
      </c>
      <c r="G17" s="73">
        <f>IFERROR(__xludf.DUMMYFUNCTION("""COMPUTED_VALUE"""),148.0)</f>
        <v>148</v>
      </c>
      <c r="H17" s="73" t="str">
        <f>IFERROR(__xludf.DUMMYFUNCTION("""COMPUTED_VALUE"""),"8 176")</f>
        <v>8 176</v>
      </c>
      <c r="I17" s="73"/>
    </row>
    <row r="18">
      <c r="A18" s="77" t="str">
        <f>IFERROR(__xludf.DUMMYFUNCTION("""COMPUTED_VALUE"""),"BANE-3.26")</f>
        <v>BANE-3.26</v>
      </c>
      <c r="B18" s="73" t="str">
        <f>IFERROR(__xludf.DUMMYFUNCTION("""COMPUTED_VALUE"""),"1 464")</f>
        <v>1 464</v>
      </c>
      <c r="C18" s="73" t="str">
        <f>IFERROR(__xludf.DUMMYFUNCTION("""COMPUTED_VALUE"""),"+0,14%")</f>
        <v>+0,14%</v>
      </c>
      <c r="D18" s="73" t="str">
        <f>IFERROR(__xludf.DUMMYFUNCTION("""COMPUTED_VALUE"""),"1 465")</f>
        <v>1 465</v>
      </c>
      <c r="E18" s="73" t="str">
        <f>IFERROR(__xludf.DUMMYFUNCTION("""COMPUTED_VALUE"""),"1 448")</f>
        <v>1 448</v>
      </c>
      <c r="F18" s="73">
        <f>IFERROR(__xludf.DUMMYFUNCTION("""COMPUTED_VALUE"""),42.0)</f>
        <v>42</v>
      </c>
      <c r="G18" s="73">
        <f>IFERROR(__xludf.DUMMYFUNCTION("""COMPUTED_VALUE"""),12.0)</f>
        <v>12</v>
      </c>
      <c r="H18" s="73">
        <f>IFERROR(__xludf.DUMMYFUNCTION("""COMPUTED_VALUE"""),558.0)</f>
        <v>558</v>
      </c>
      <c r="I18" s="73"/>
    </row>
    <row r="19">
      <c r="A19" s="77" t="str">
        <f>IFERROR(__xludf.DUMMYFUNCTION("""COMPUTED_VALUE"""),"*Фьючерсный контракт на обыкновенные акции ПАО ""НоваБев Групп""*")</f>
        <v>*Фьючерсный контракт на обыкновенные акции ПАО "НоваБев Групп"*</v>
      </c>
      <c r="B19" s="73"/>
      <c r="C19" s="73"/>
      <c r="D19" s="73"/>
      <c r="E19" s="73"/>
      <c r="F19" s="73"/>
      <c r="G19" s="73"/>
      <c r="H19" s="73"/>
      <c r="I19" s="73"/>
    </row>
    <row r="20">
      <c r="A20" s="77" t="str">
        <f>IFERROR(__xludf.DUMMYFUNCTION("""COMPUTED_VALUE"""),"BELUGA-12.25")</f>
        <v>BELUGA-12.25</v>
      </c>
      <c r="B20" s="73">
        <f>IFERROR(__xludf.DUMMYFUNCTION("""COMPUTED_VALUE"""),386.0)</f>
        <v>386</v>
      </c>
      <c r="C20" s="73" t="str">
        <f>IFERROR(__xludf.DUMMYFUNCTION("""COMPUTED_VALUE"""),"+0,26%")</f>
        <v>+0,26%</v>
      </c>
      <c r="D20" s="73">
        <f>IFERROR(__xludf.DUMMYFUNCTION("""COMPUTED_VALUE"""),390.0)</f>
        <v>390</v>
      </c>
      <c r="E20" s="73">
        <f>IFERROR(__xludf.DUMMYFUNCTION("""COMPUTED_VALUE"""),382.0)</f>
        <v>382</v>
      </c>
      <c r="F20" s="73" t="str">
        <f>IFERROR(__xludf.DUMMYFUNCTION("""COMPUTED_VALUE"""),"29 006")</f>
        <v>29 006</v>
      </c>
      <c r="G20" s="73">
        <f>IFERROR(__xludf.DUMMYFUNCTION("""COMPUTED_VALUE"""),359.0)</f>
        <v>359</v>
      </c>
      <c r="H20" s="73" t="str">
        <f>IFERROR(__xludf.DUMMYFUNCTION("""COMPUTED_VALUE"""),"151 304")</f>
        <v>151 304</v>
      </c>
      <c r="I20" s="73"/>
    </row>
    <row r="21">
      <c r="A21" s="77" t="str">
        <f>IFERROR(__xludf.DUMMYFUNCTION("""COMPUTED_VALUE"""),"BELUGA-3.26")</f>
        <v>BELUGA-3.26</v>
      </c>
      <c r="B21" s="73">
        <f>IFERROR(__xludf.DUMMYFUNCTION("""COMPUTED_VALUE"""),404.0)</f>
        <v>404</v>
      </c>
      <c r="C21" s="73" t="str">
        <f>IFERROR(__xludf.DUMMYFUNCTION("""COMPUTED_VALUE"""),"-0,25%")</f>
        <v>-0,25%</v>
      </c>
      <c r="D21" s="73">
        <f>IFERROR(__xludf.DUMMYFUNCTION("""COMPUTED_VALUE"""),408.0)</f>
        <v>408</v>
      </c>
      <c r="E21" s="73">
        <f>IFERROR(__xludf.DUMMYFUNCTION("""COMPUTED_VALUE"""),401.0)</f>
        <v>401</v>
      </c>
      <c r="F21" s="73">
        <f>IFERROR(__xludf.DUMMYFUNCTION("""COMPUTED_VALUE"""),190.0)</f>
        <v>190</v>
      </c>
      <c r="G21" s="73">
        <f>IFERROR(__xludf.DUMMYFUNCTION("""COMPUTED_VALUE"""),25.0)</f>
        <v>25</v>
      </c>
      <c r="H21" s="73" t="str">
        <f>IFERROR(__xludf.DUMMYFUNCTION("""COMPUTED_VALUE"""),"24 406")</f>
        <v>24 406</v>
      </c>
      <c r="I21" s="73"/>
    </row>
    <row r="22">
      <c r="A22" s="77" t="str">
        <f>IFERROR(__xludf.DUMMYFUNCTION("""COMPUTED_VALUE"""),"*Фьючерсный контракт на обыкновенные акции ПАО «Банк «Санкт-Петербург»*")</f>
        <v>*Фьючерсный контракт на обыкновенные акции ПАО «Банк «Санкт-Петербург»*</v>
      </c>
      <c r="B22" s="73"/>
      <c r="C22" s="73"/>
      <c r="D22" s="73"/>
      <c r="E22" s="73"/>
      <c r="F22" s="73"/>
      <c r="G22" s="73"/>
      <c r="H22" s="73"/>
      <c r="I22" s="73"/>
    </row>
    <row r="23">
      <c r="A23" s="77" t="str">
        <f>IFERROR(__xludf.DUMMYFUNCTION("""COMPUTED_VALUE"""),"BSPB-12.25")</f>
        <v>BSPB-12.25</v>
      </c>
      <c r="B23" s="73" t="str">
        <f>IFERROR(__xludf.DUMMYFUNCTION("""COMPUTED_VALUE"""),"3 391")</f>
        <v>3 391</v>
      </c>
      <c r="C23" s="73" t="str">
        <f>IFERROR(__xludf.DUMMYFUNCTION("""COMPUTED_VALUE"""),"-0,41%")</f>
        <v>-0,41%</v>
      </c>
      <c r="D23" s="73" t="str">
        <f>IFERROR(__xludf.DUMMYFUNCTION("""COMPUTED_VALUE"""),"3 409")</f>
        <v>3 409</v>
      </c>
      <c r="E23" s="73" t="str">
        <f>IFERROR(__xludf.DUMMYFUNCTION("""COMPUTED_VALUE"""),"3 345")</f>
        <v>3 345</v>
      </c>
      <c r="F23" s="73" t="str">
        <f>IFERROR(__xludf.DUMMYFUNCTION("""COMPUTED_VALUE"""),"3 053")</f>
        <v>3 053</v>
      </c>
      <c r="G23" s="73">
        <f>IFERROR(__xludf.DUMMYFUNCTION("""COMPUTED_VALUE"""),355.0)</f>
        <v>355</v>
      </c>
      <c r="H23" s="73" t="str">
        <f>IFERROR(__xludf.DUMMYFUNCTION("""COMPUTED_VALUE"""),"75 310")</f>
        <v>75 310</v>
      </c>
      <c r="I23" s="73"/>
    </row>
    <row r="24">
      <c r="A24" s="77" t="str">
        <f>IFERROR(__xludf.DUMMYFUNCTION("""COMPUTED_VALUE"""),"BSPB-3.26")</f>
        <v>BSPB-3.26</v>
      </c>
      <c r="B24" s="73" t="str">
        <f>IFERROR(__xludf.DUMMYFUNCTION("""COMPUTED_VALUE"""),"3 500")</f>
        <v>3 500</v>
      </c>
      <c r="C24" s="73" t="str">
        <f>IFERROR(__xludf.DUMMYFUNCTION("""COMPUTED_VALUE"""),"-%")</f>
        <v>-%</v>
      </c>
      <c r="D24" s="73" t="str">
        <f>IFERROR(__xludf.DUMMYFUNCTION("""COMPUTED_VALUE"""),"3 502")</f>
        <v>3 502</v>
      </c>
      <c r="E24" s="73" t="str">
        <f>IFERROR(__xludf.DUMMYFUNCTION("""COMPUTED_VALUE"""),"3 461")</f>
        <v>3 461</v>
      </c>
      <c r="F24" s="73">
        <f>IFERROR(__xludf.DUMMYFUNCTION("""COMPUTED_VALUE"""),40.0)</f>
        <v>40</v>
      </c>
      <c r="G24" s="73">
        <f>IFERROR(__xludf.DUMMYFUNCTION("""COMPUTED_VALUE"""),25.0)</f>
        <v>25</v>
      </c>
      <c r="H24" s="73">
        <f>IFERROR(__xludf.DUMMYFUNCTION("""COMPUTED_VALUE"""),646.0)</f>
        <v>646</v>
      </c>
      <c r="I24" s="73"/>
    </row>
    <row r="25">
      <c r="A25" s="77" t="str">
        <f>IFERROR(__xludf.DUMMYFUNCTION("""COMPUTED_VALUE"""),"*Фьючерсный контракт на обыкновенные акции ПАО ""МОСКОВСКИЙ КРЕДИТНЫЙ БАНК""*")</f>
        <v>*Фьючерсный контракт на обыкновенные акции ПАО "МОСКОВСКИЙ КРЕДИТНЫЙ БАНК"*</v>
      </c>
      <c r="B25" s="73"/>
      <c r="C25" s="73"/>
      <c r="D25" s="73"/>
      <c r="E25" s="73"/>
      <c r="F25" s="73"/>
      <c r="G25" s="73"/>
      <c r="H25" s="73"/>
      <c r="I25" s="73"/>
    </row>
    <row r="26">
      <c r="A26" s="77" t="str">
        <f>IFERROR(__xludf.DUMMYFUNCTION("""COMPUTED_VALUE"""),"CBOM-12.25")</f>
        <v>CBOM-12.25</v>
      </c>
      <c r="B26" s="73" t="str">
        <f>IFERROR(__xludf.DUMMYFUNCTION("""COMPUTED_VALUE"""),"6 550")</f>
        <v>6 550</v>
      </c>
      <c r="C26" s="73" t="str">
        <f>IFERROR(__xludf.DUMMYFUNCTION("""COMPUTED_VALUE"""),"-1,00%")</f>
        <v>-1,00%</v>
      </c>
      <c r="D26" s="73" t="str">
        <f>IFERROR(__xludf.DUMMYFUNCTION("""COMPUTED_VALUE"""),"6 690")</f>
        <v>6 690</v>
      </c>
      <c r="E26" s="73" t="str">
        <f>IFERROR(__xludf.DUMMYFUNCTION("""COMPUTED_VALUE"""),"6 509")</f>
        <v>6 509</v>
      </c>
      <c r="F26" s="73">
        <f>IFERROR(__xludf.DUMMYFUNCTION("""COMPUTED_VALUE"""),629.0)</f>
        <v>629</v>
      </c>
      <c r="G26" s="73">
        <f>IFERROR(__xludf.DUMMYFUNCTION("""COMPUTED_VALUE"""),101.0)</f>
        <v>101</v>
      </c>
      <c r="H26" s="73" t="str">
        <f>IFERROR(__xludf.DUMMYFUNCTION("""COMPUTED_VALUE"""),"4 960")</f>
        <v>4 960</v>
      </c>
      <c r="I26" s="73"/>
    </row>
    <row r="27">
      <c r="A27" s="77" t="str">
        <f>IFERROR(__xludf.DUMMYFUNCTION("""COMPUTED_VALUE"""),"CBOM-3.26")</f>
        <v>CBOM-3.26</v>
      </c>
      <c r="B27" s="73" t="str">
        <f>IFERROR(__xludf.DUMMYFUNCTION("""COMPUTED_VALUE"""),"-")</f>
        <v>-</v>
      </c>
      <c r="C27" s="73" t="str">
        <f>IFERROR(__xludf.DUMMYFUNCTION("""COMPUTED_VALUE"""),"-")</f>
        <v>-</v>
      </c>
      <c r="D27" s="73" t="str">
        <f>IFERROR(__xludf.DUMMYFUNCTION("""COMPUTED_VALUE"""),"-")</f>
        <v>-</v>
      </c>
      <c r="E27" s="73" t="str">
        <f>IFERROR(__xludf.DUMMYFUNCTION("""COMPUTED_VALUE"""),"-")</f>
        <v>-</v>
      </c>
      <c r="F27" s="73" t="str">
        <f>IFERROR(__xludf.DUMMYFUNCTION("""COMPUTED_VALUE"""),"-")</f>
        <v>-</v>
      </c>
      <c r="G27" s="73" t="str">
        <f>IFERROR(__xludf.DUMMYFUNCTION("""COMPUTED_VALUE"""),"-")</f>
        <v>-</v>
      </c>
      <c r="H27" s="73">
        <f>IFERROR(__xludf.DUMMYFUNCTION("""COMPUTED_VALUE"""),6.0)</f>
        <v>6</v>
      </c>
      <c r="I27" s="73"/>
    </row>
    <row r="28">
      <c r="A28" s="77" t="str">
        <f>IFERROR(__xludf.DUMMYFUNCTION("""COMPUTED_VALUE"""),"*Фьючерсный контракт на обыкновенные акции ПАО «Северсталь»*")</f>
        <v>*Фьючерсный контракт на обыкновенные акции ПАО «Северсталь»*</v>
      </c>
      <c r="B28" s="73"/>
      <c r="C28" s="73"/>
      <c r="D28" s="73"/>
      <c r="E28" s="73"/>
      <c r="F28" s="73"/>
      <c r="G28" s="73"/>
      <c r="H28" s="73"/>
      <c r="I28" s="73"/>
    </row>
    <row r="29">
      <c r="A29" s="77" t="str">
        <f>IFERROR(__xludf.DUMMYFUNCTION("""COMPUTED_VALUE"""),"CHMF-12.25")</f>
        <v>CHMF-12.25</v>
      </c>
      <c r="B29" s="73" t="str">
        <f>IFERROR(__xludf.DUMMYFUNCTION("""COMPUTED_VALUE"""),"90 297")</f>
        <v>90 297</v>
      </c>
      <c r="C29" s="73" t="str">
        <f>IFERROR(__xludf.DUMMYFUNCTION("""COMPUTED_VALUE"""),"-0,79%")</f>
        <v>-0,79%</v>
      </c>
      <c r="D29" s="73" t="str">
        <f>IFERROR(__xludf.DUMMYFUNCTION("""COMPUTED_VALUE"""),"91 399")</f>
        <v>91 399</v>
      </c>
      <c r="E29" s="73" t="str">
        <f>IFERROR(__xludf.DUMMYFUNCTION("""COMPUTED_VALUE"""),"89 754")</f>
        <v>89 754</v>
      </c>
      <c r="F29" s="73">
        <f>IFERROR(__xludf.DUMMYFUNCTION("""COMPUTED_VALUE"""),723.0)</f>
        <v>723</v>
      </c>
      <c r="G29" s="73">
        <f>IFERROR(__xludf.DUMMYFUNCTION("""COMPUTED_VALUE"""),467.0)</f>
        <v>467</v>
      </c>
      <c r="H29" s="73" t="str">
        <f>IFERROR(__xludf.DUMMYFUNCTION("""COMPUTED_VALUE"""),"3 244")</f>
        <v>3 244</v>
      </c>
      <c r="I29" s="73"/>
    </row>
    <row r="30">
      <c r="A30" s="77" t="str">
        <f>IFERROR(__xludf.DUMMYFUNCTION("""COMPUTED_VALUE"""),"CHMF-3.26")</f>
        <v>CHMF-3.26</v>
      </c>
      <c r="B30" s="73" t="str">
        <f>IFERROR(__xludf.DUMMYFUNCTION("""COMPUTED_VALUE"""),"94 781")</f>
        <v>94 781</v>
      </c>
      <c r="C30" s="73" t="str">
        <f>IFERROR(__xludf.DUMMYFUNCTION("""COMPUTED_VALUE"""),"-0,55%")</f>
        <v>-0,55%</v>
      </c>
      <c r="D30" s="73" t="str">
        <f>IFERROR(__xludf.DUMMYFUNCTION("""COMPUTED_VALUE"""),"94 781")</f>
        <v>94 781</v>
      </c>
      <c r="E30" s="73" t="str">
        <f>IFERROR(__xludf.DUMMYFUNCTION("""COMPUTED_VALUE"""),"94 781")</f>
        <v>94 781</v>
      </c>
      <c r="F30" s="73">
        <f>IFERROR(__xludf.DUMMYFUNCTION("""COMPUTED_VALUE"""),1.0)</f>
        <v>1</v>
      </c>
      <c r="G30" s="73">
        <f>IFERROR(__xludf.DUMMYFUNCTION("""COMPUTED_VALUE"""),1.0)</f>
        <v>1</v>
      </c>
      <c r="H30" s="73">
        <f>IFERROR(__xludf.DUMMYFUNCTION("""COMPUTED_VALUE"""),92.0)</f>
        <v>92</v>
      </c>
      <c r="I30" s="73"/>
    </row>
    <row r="31">
      <c r="A31" s="77" t="str">
        <f>IFERROR(__xludf.DUMMYFUNCTION("""COMPUTED_VALUE"""),"*Фьючерсный контракт на обыкновенные акции ПАО ""ДВМП""*")</f>
        <v>*Фьючерсный контракт на обыкновенные акции ПАО "ДВМП"*</v>
      </c>
      <c r="B31" s="73"/>
      <c r="C31" s="73"/>
      <c r="D31" s="73"/>
      <c r="E31" s="73"/>
      <c r="F31" s="73"/>
      <c r="G31" s="73"/>
      <c r="H31" s="73"/>
      <c r="I31" s="73"/>
    </row>
    <row r="32">
      <c r="A32" s="77" t="str">
        <f>IFERROR(__xludf.DUMMYFUNCTION("""COMPUTED_VALUE"""),"FESH-12.25")</f>
        <v>FESH-12.25</v>
      </c>
      <c r="B32" s="73" t="str">
        <f>IFERROR(__xludf.DUMMYFUNCTION("""COMPUTED_VALUE"""),"4 934")</f>
        <v>4 934</v>
      </c>
      <c r="C32" s="73" t="str">
        <f>IFERROR(__xludf.DUMMYFUNCTION("""COMPUTED_VALUE"""),"-0,70%")</f>
        <v>-0,70%</v>
      </c>
      <c r="D32" s="73" t="str">
        <f>IFERROR(__xludf.DUMMYFUNCTION("""COMPUTED_VALUE"""),"5 035")</f>
        <v>5 035</v>
      </c>
      <c r="E32" s="73" t="str">
        <f>IFERROR(__xludf.DUMMYFUNCTION("""COMPUTED_VALUE"""),"4 912")</f>
        <v>4 912</v>
      </c>
      <c r="F32" s="73" t="str">
        <f>IFERROR(__xludf.DUMMYFUNCTION("""COMPUTED_VALUE"""),"1 333")</f>
        <v>1 333</v>
      </c>
      <c r="G32" s="73">
        <f>IFERROR(__xludf.DUMMYFUNCTION("""COMPUTED_VALUE"""),167.0)</f>
        <v>167</v>
      </c>
      <c r="H32" s="73" t="str">
        <f>IFERROR(__xludf.DUMMYFUNCTION("""COMPUTED_VALUE"""),"19 310")</f>
        <v>19 310</v>
      </c>
      <c r="I32" s="73"/>
    </row>
    <row r="33">
      <c r="A33" s="77" t="str">
        <f>IFERROR(__xludf.DUMMYFUNCTION("""COMPUTED_VALUE"""),"FESH-3.26")</f>
        <v>FESH-3.26</v>
      </c>
      <c r="B33" s="73" t="str">
        <f>IFERROR(__xludf.DUMMYFUNCTION("""COMPUTED_VALUE"""),"-")</f>
        <v>-</v>
      </c>
      <c r="C33" s="73" t="str">
        <f>IFERROR(__xludf.DUMMYFUNCTION("""COMPUTED_VALUE"""),"-")</f>
        <v>-</v>
      </c>
      <c r="D33" s="73" t="str">
        <f>IFERROR(__xludf.DUMMYFUNCTION("""COMPUTED_VALUE"""),"-")</f>
        <v>-</v>
      </c>
      <c r="E33" s="73" t="str">
        <f>IFERROR(__xludf.DUMMYFUNCTION("""COMPUTED_VALUE"""),"-")</f>
        <v>-</v>
      </c>
      <c r="F33" s="73" t="str">
        <f>IFERROR(__xludf.DUMMYFUNCTION("""COMPUTED_VALUE"""),"-")</f>
        <v>-</v>
      </c>
      <c r="G33" s="73" t="str">
        <f>IFERROR(__xludf.DUMMYFUNCTION("""COMPUTED_VALUE"""),"-")</f>
        <v>-</v>
      </c>
      <c r="H33" s="73">
        <f>IFERROR(__xludf.DUMMYFUNCTION("""COMPUTED_VALUE"""),192.0)</f>
        <v>192</v>
      </c>
      <c r="I33" s="73"/>
    </row>
    <row r="34">
      <c r="A34" s="77" t="str">
        <f>IFERROR(__xludf.DUMMYFUNCTION("""COMPUTED_VALUE"""),"*Фьючерсный контракт на обыкновенные акции ПАО “Совкомфлот”*")</f>
        <v>*Фьючерсный контракт на обыкновенные акции ПАО “Совкомфлот”*</v>
      </c>
      <c r="B34" s="73"/>
      <c r="C34" s="73"/>
      <c r="D34" s="73"/>
      <c r="E34" s="73"/>
      <c r="F34" s="73"/>
      <c r="G34" s="73"/>
      <c r="H34" s="73"/>
      <c r="I34" s="73"/>
    </row>
    <row r="35">
      <c r="A35" s="77" t="str">
        <f>IFERROR(__xludf.DUMMYFUNCTION("""COMPUTED_VALUE"""),"FLOT-12.25")</f>
        <v>FLOT-12.25</v>
      </c>
      <c r="B35" s="73" t="str">
        <f>IFERROR(__xludf.DUMMYFUNCTION("""COMPUTED_VALUE"""),"7 505")</f>
        <v>7 505</v>
      </c>
      <c r="C35" s="73" t="str">
        <f>IFERROR(__xludf.DUMMYFUNCTION("""COMPUTED_VALUE"""),"-1,56%")</f>
        <v>-1,56%</v>
      </c>
      <c r="D35" s="73" t="str">
        <f>IFERROR(__xludf.DUMMYFUNCTION("""COMPUTED_VALUE"""),"7 618")</f>
        <v>7 618</v>
      </c>
      <c r="E35" s="73" t="str">
        <f>IFERROR(__xludf.DUMMYFUNCTION("""COMPUTED_VALUE"""),"7 476")</f>
        <v>7 476</v>
      </c>
      <c r="F35" s="73">
        <f>IFERROR(__xludf.DUMMYFUNCTION("""COMPUTED_VALUE"""),557.0)</f>
        <v>557</v>
      </c>
      <c r="G35" s="73">
        <f>IFERROR(__xludf.DUMMYFUNCTION("""COMPUTED_VALUE"""),134.0)</f>
        <v>134</v>
      </c>
      <c r="H35" s="73" t="str">
        <f>IFERROR(__xludf.DUMMYFUNCTION("""COMPUTED_VALUE"""),"7 276")</f>
        <v>7 276</v>
      </c>
      <c r="I35" s="73"/>
    </row>
    <row r="36">
      <c r="A36" s="77" t="str">
        <f>IFERROR(__xludf.DUMMYFUNCTION("""COMPUTED_VALUE"""),"FLOT-3.26")</f>
        <v>FLOT-3.26</v>
      </c>
      <c r="B36" s="73" t="str">
        <f>IFERROR(__xludf.DUMMYFUNCTION("""COMPUTED_VALUE"""),"7 732")</f>
        <v>7 732</v>
      </c>
      <c r="C36" s="73" t="str">
        <f>IFERROR(__xludf.DUMMYFUNCTION("""COMPUTED_VALUE"""),"-1,45%")</f>
        <v>-1,45%</v>
      </c>
      <c r="D36" s="73" t="str">
        <f>IFERROR(__xludf.DUMMYFUNCTION("""COMPUTED_VALUE"""),"7 820")</f>
        <v>7 820</v>
      </c>
      <c r="E36" s="73" t="str">
        <f>IFERROR(__xludf.DUMMYFUNCTION("""COMPUTED_VALUE"""),"7 732")</f>
        <v>7 732</v>
      </c>
      <c r="F36" s="73">
        <f>IFERROR(__xludf.DUMMYFUNCTION("""COMPUTED_VALUE"""),7.0)</f>
        <v>7</v>
      </c>
      <c r="G36" s="73">
        <f>IFERROR(__xludf.DUMMYFUNCTION("""COMPUTED_VALUE"""),3.0)</f>
        <v>3</v>
      </c>
      <c r="H36" s="73">
        <f>IFERROR(__xludf.DUMMYFUNCTION("""COMPUTED_VALUE"""),94.0)</f>
        <v>94</v>
      </c>
      <c r="I36" s="73"/>
    </row>
    <row r="37">
      <c r="A37" s="77" t="str">
        <f>IFERROR(__xludf.DUMMYFUNCTION("""COMPUTED_VALUE"""),"*Фьючерсный контракт на обыкновенные акции ПАО «Федеральная сетевая 
компания-Россети»*")</f>
        <v>*Фьючерсный контракт на обыкновенные акции ПАО «Федеральная сетевая 
компания-Россети»*</v>
      </c>
      <c r="B37" s="73"/>
      <c r="C37" s="73"/>
      <c r="D37" s="73"/>
      <c r="E37" s="73"/>
      <c r="F37" s="73"/>
      <c r="G37" s="73"/>
      <c r="H37" s="73"/>
      <c r="I37" s="73"/>
    </row>
    <row r="38">
      <c r="A38" s="77" t="str">
        <f>IFERROR(__xludf.DUMMYFUNCTION("""COMPUTED_VALUE"""),"FEES-12.25")</f>
        <v>FEES-12.25</v>
      </c>
      <c r="B38" s="73" t="str">
        <f>IFERROR(__xludf.DUMMYFUNCTION("""COMPUTED_VALUE"""),"6 445")</f>
        <v>6 445</v>
      </c>
      <c r="C38" s="73" t="str">
        <f>IFERROR(__xludf.DUMMYFUNCTION("""COMPUTED_VALUE"""),"+2,61%")</f>
        <v>+2,61%</v>
      </c>
      <c r="D38" s="73" t="str">
        <f>IFERROR(__xludf.DUMMYFUNCTION("""COMPUTED_VALUE"""),"6 629")</f>
        <v>6 629</v>
      </c>
      <c r="E38" s="73" t="str">
        <f>IFERROR(__xludf.DUMMYFUNCTION("""COMPUTED_VALUE"""),"6 211")</f>
        <v>6 211</v>
      </c>
      <c r="F38" s="73" t="str">
        <f>IFERROR(__xludf.DUMMYFUNCTION("""COMPUTED_VALUE"""),"3 136")</f>
        <v>3 136</v>
      </c>
      <c r="G38" s="73">
        <f>IFERROR(__xludf.DUMMYFUNCTION("""COMPUTED_VALUE"""),506.0)</f>
        <v>506</v>
      </c>
      <c r="H38" s="73" t="str">
        <f>IFERROR(__xludf.DUMMYFUNCTION("""COMPUTED_VALUE"""),"14 518")</f>
        <v>14 518</v>
      </c>
      <c r="I38" s="73"/>
    </row>
    <row r="39">
      <c r="A39" s="77" t="str">
        <f>IFERROR(__xludf.DUMMYFUNCTION("""COMPUTED_VALUE"""),"FEES-3.26")</f>
        <v>FEES-3.26</v>
      </c>
      <c r="B39" s="73" t="str">
        <f>IFERROR(__xludf.DUMMYFUNCTION("""COMPUTED_VALUE"""),"6 714")</f>
        <v>6 714</v>
      </c>
      <c r="C39" s="73" t="str">
        <f>IFERROR(__xludf.DUMMYFUNCTION("""COMPUTED_VALUE"""),"+1,90%")</f>
        <v>+1,90%</v>
      </c>
      <c r="D39" s="73" t="str">
        <f>IFERROR(__xludf.DUMMYFUNCTION("""COMPUTED_VALUE"""),"6 887")</f>
        <v>6 887</v>
      </c>
      <c r="E39" s="73" t="str">
        <f>IFERROR(__xludf.DUMMYFUNCTION("""COMPUTED_VALUE"""),"6 484")</f>
        <v>6 484</v>
      </c>
      <c r="F39" s="73">
        <f>IFERROR(__xludf.DUMMYFUNCTION("""COMPUTED_VALUE"""),86.0)</f>
        <v>86</v>
      </c>
      <c r="G39" s="73">
        <f>IFERROR(__xludf.DUMMYFUNCTION("""COMPUTED_VALUE"""),43.0)</f>
        <v>43</v>
      </c>
      <c r="H39" s="73">
        <f>IFERROR(__xludf.DUMMYFUNCTION("""COMPUTED_VALUE"""),940.0)</f>
        <v>940</v>
      </c>
      <c r="I39" s="73"/>
    </row>
    <row r="40">
      <c r="A40" s="77" t="str">
        <f>IFERROR(__xludf.DUMMYFUNCTION("""COMPUTED_VALUE"""),"*Однодневный фьючерсный контракт с автопролонгацией на обыкновенные акции 
ПАО «Газпром»*")</f>
        <v>*Однодневный фьючерсный контракт с автопролонгацией на обыкновенные акции 
ПАО «Газпром»*</v>
      </c>
      <c r="B40" s="73"/>
      <c r="C40" s="73"/>
      <c r="D40" s="73"/>
      <c r="E40" s="73"/>
      <c r="F40" s="73"/>
      <c r="G40" s="73"/>
      <c r="H40" s="73"/>
      <c r="I40" s="73"/>
    </row>
    <row r="41">
      <c r="A41" s="77" t="str">
        <f>IFERROR(__xludf.DUMMYFUNCTION("""COMPUTED_VALUE"""),"GAZPF")</f>
        <v>GAZPF</v>
      </c>
      <c r="B41" s="73" t="str">
        <f>IFERROR(__xludf.DUMMYFUNCTION("""COMPUTED_VALUE"""),"115,46")</f>
        <v>115,46</v>
      </c>
      <c r="C41" s="73" t="str">
        <f>IFERROR(__xludf.DUMMYFUNCTION("""COMPUTED_VALUE"""),"+0,19%")</f>
        <v>+0,19%</v>
      </c>
      <c r="D41" s="73" t="str">
        <f>IFERROR(__xludf.DUMMYFUNCTION("""COMPUTED_VALUE"""),"117,39")</f>
        <v>117,39</v>
      </c>
      <c r="E41" s="73" t="str">
        <f>IFERROR(__xludf.DUMMYFUNCTION("""COMPUTED_VALUE"""),"114,69")</f>
        <v>114,69</v>
      </c>
      <c r="F41" s="73" t="str">
        <f>IFERROR(__xludf.DUMMYFUNCTION("""COMPUTED_VALUE"""),"29 495")</f>
        <v>29 495</v>
      </c>
      <c r="G41" s="73" t="str">
        <f>IFERROR(__xludf.DUMMYFUNCTION("""COMPUTED_VALUE"""),"3 839")</f>
        <v>3 839</v>
      </c>
      <c r="H41" s="73" t="str">
        <f>IFERROR(__xludf.DUMMYFUNCTION("""COMPUTED_VALUE"""),"306 710")</f>
        <v>306 710</v>
      </c>
      <c r="I41" s="73"/>
    </row>
    <row r="42">
      <c r="A42" s="77" t="str">
        <f>IFERROR(__xludf.DUMMYFUNCTION("""COMPUTED_VALUE"""),"*Фьючерсный контракт на обыкновенные акции ПАО «ГМК «Норильский никель»*")</f>
        <v>*Фьючерсный контракт на обыкновенные акции ПАО «ГМК «Норильский никель»*</v>
      </c>
      <c r="B42" s="73"/>
      <c r="C42" s="73"/>
      <c r="D42" s="73"/>
      <c r="E42" s="73"/>
      <c r="F42" s="73"/>
      <c r="G42" s="73"/>
      <c r="H42" s="73"/>
      <c r="I42" s="73"/>
    </row>
    <row r="43">
      <c r="A43" s="77" t="str">
        <f>IFERROR(__xludf.DUMMYFUNCTION("""COMPUTED_VALUE"""),"GMKN-12.25")</f>
        <v>GMKN-12.25</v>
      </c>
      <c r="B43" s="73" t="str">
        <f>IFERROR(__xludf.DUMMYFUNCTION("""COMPUTED_VALUE"""),"1 297")</f>
        <v>1 297</v>
      </c>
      <c r="C43" s="73" t="str">
        <f>IFERROR(__xludf.DUMMYFUNCTION("""COMPUTED_VALUE"""),"-0,54%")</f>
        <v>-0,54%</v>
      </c>
      <c r="D43" s="73" t="str">
        <f>IFERROR(__xludf.DUMMYFUNCTION("""COMPUTED_VALUE"""),"1 319")</f>
        <v>1 319</v>
      </c>
      <c r="E43" s="73" t="str">
        <f>IFERROR(__xludf.DUMMYFUNCTION("""COMPUTED_VALUE"""),"1 292")</f>
        <v>1 292</v>
      </c>
      <c r="F43" s="73" t="str">
        <f>IFERROR(__xludf.DUMMYFUNCTION("""COMPUTED_VALUE"""),"240 676")</f>
        <v>240 676</v>
      </c>
      <c r="G43" s="73" t="str">
        <f>IFERROR(__xludf.DUMMYFUNCTION("""COMPUTED_VALUE"""),"9 250")</f>
        <v>9 250</v>
      </c>
      <c r="H43" s="73" t="str">
        <f>IFERROR(__xludf.DUMMYFUNCTION("""COMPUTED_VALUE"""),"979 366")</f>
        <v>979 366</v>
      </c>
      <c r="I43" s="73"/>
    </row>
    <row r="44">
      <c r="A44" s="77" t="str">
        <f>IFERROR(__xludf.DUMMYFUNCTION("""COMPUTED_VALUE"""),"GMKN-3.26")</f>
        <v>GMKN-3.26</v>
      </c>
      <c r="B44" s="73" t="str">
        <f>IFERROR(__xludf.DUMMYFUNCTION("""COMPUTED_VALUE"""),"1 336")</f>
        <v>1 336</v>
      </c>
      <c r="C44" s="73" t="str">
        <f>IFERROR(__xludf.DUMMYFUNCTION("""COMPUTED_VALUE"""),"+0,07%")</f>
        <v>+0,07%</v>
      </c>
      <c r="D44" s="73" t="str">
        <f>IFERROR(__xludf.DUMMYFUNCTION("""COMPUTED_VALUE"""),"1 355")</f>
        <v>1 355</v>
      </c>
      <c r="E44" s="73" t="str">
        <f>IFERROR(__xludf.DUMMYFUNCTION("""COMPUTED_VALUE"""),"1 329")</f>
        <v>1 329</v>
      </c>
      <c r="F44" s="73" t="str">
        <f>IFERROR(__xludf.DUMMYFUNCTION("""COMPUTED_VALUE"""),"1 446")</f>
        <v>1 446</v>
      </c>
      <c r="G44" s="73">
        <f>IFERROR(__xludf.DUMMYFUNCTION("""COMPUTED_VALUE"""),136.0)</f>
        <v>136</v>
      </c>
      <c r="H44" s="73" t="str">
        <f>IFERROR(__xludf.DUMMYFUNCTION("""COMPUTED_VALUE"""),"13 592")</f>
        <v>13 592</v>
      </c>
      <c r="I44" s="73"/>
    </row>
    <row r="45">
      <c r="A45" s="77" t="str">
        <f>IFERROR(__xludf.DUMMYFUNCTION("""COMPUTED_VALUE"""),"*Фьючерсный контракт на обыкновенные акции ПАО «Газпром»*")</f>
        <v>*Фьючерсный контракт на обыкновенные акции ПАО «Газпром»*</v>
      </c>
      <c r="B45" s="73"/>
      <c r="C45" s="73"/>
      <c r="D45" s="73"/>
      <c r="E45" s="73"/>
      <c r="F45" s="73"/>
      <c r="G45" s="73"/>
      <c r="H45" s="73"/>
      <c r="I45" s="73"/>
    </row>
    <row r="46">
      <c r="A46" s="77" t="str">
        <f>IFERROR(__xludf.DUMMYFUNCTION("""COMPUTED_VALUE"""),"GAZR-12.25")</f>
        <v>GAZR-12.25</v>
      </c>
      <c r="B46" s="73" t="str">
        <f>IFERROR(__xludf.DUMMYFUNCTION("""COMPUTED_VALUE"""),"11 899")</f>
        <v>11 899</v>
      </c>
      <c r="C46" s="73" t="str">
        <f>IFERROR(__xludf.DUMMYFUNCTION("""COMPUTED_VALUE"""),"+0,08%")</f>
        <v>+0,08%</v>
      </c>
      <c r="D46" s="73" t="str">
        <f>IFERROR(__xludf.DUMMYFUNCTION("""COMPUTED_VALUE"""),"12 109")</f>
        <v>12 109</v>
      </c>
      <c r="E46" s="73" t="str">
        <f>IFERROR(__xludf.DUMMYFUNCTION("""COMPUTED_VALUE"""),"11 819")</f>
        <v>11 819</v>
      </c>
      <c r="F46" s="73" t="str">
        <f>IFERROR(__xludf.DUMMYFUNCTION("""COMPUTED_VALUE"""),"200 753")</f>
        <v>200 753</v>
      </c>
      <c r="G46" s="73" t="str">
        <f>IFERROR(__xludf.DUMMYFUNCTION("""COMPUTED_VALUE"""),"31 044")</f>
        <v>31 044</v>
      </c>
      <c r="H46" s="73" t="str">
        <f>IFERROR(__xludf.DUMMYFUNCTION("""COMPUTED_VALUE"""),"1 315 212")</f>
        <v>1 315 212</v>
      </c>
      <c r="I46" s="73"/>
    </row>
    <row r="47">
      <c r="A47" s="77" t="str">
        <f>IFERROR(__xludf.DUMMYFUNCTION("""COMPUTED_VALUE"""),"GAZR-3.26")</f>
        <v>GAZR-3.26</v>
      </c>
      <c r="B47" s="73" t="str">
        <f>IFERROR(__xludf.DUMMYFUNCTION("""COMPUTED_VALUE"""),"12 397")</f>
        <v>12 397</v>
      </c>
      <c r="C47" s="73" t="str">
        <f>IFERROR(__xludf.DUMMYFUNCTION("""COMPUTED_VALUE"""),"-0,04%")</f>
        <v>-0,04%</v>
      </c>
      <c r="D47" s="73" t="str">
        <f>IFERROR(__xludf.DUMMYFUNCTION("""COMPUTED_VALUE"""),"12 612")</f>
        <v>12 612</v>
      </c>
      <c r="E47" s="73" t="str">
        <f>IFERROR(__xludf.DUMMYFUNCTION("""COMPUTED_VALUE"""),"12 334")</f>
        <v>12 334</v>
      </c>
      <c r="F47" s="73" t="str">
        <f>IFERROR(__xludf.DUMMYFUNCTION("""COMPUTED_VALUE"""),"2 412")</f>
        <v>2 412</v>
      </c>
      <c r="G47" s="73">
        <f>IFERROR(__xludf.DUMMYFUNCTION("""COMPUTED_VALUE"""),935.0)</f>
        <v>935</v>
      </c>
      <c r="H47" s="73" t="str">
        <f>IFERROR(__xludf.DUMMYFUNCTION("""COMPUTED_VALUE"""),"12 770")</f>
        <v>12 770</v>
      </c>
      <c r="I47" s="73"/>
    </row>
    <row r="48">
      <c r="A48" s="77" t="str">
        <f>IFERROR(__xludf.DUMMYFUNCTION("""COMPUTED_VALUE"""),"GAZR-6.26")</f>
        <v>GAZR-6.26</v>
      </c>
      <c r="B48" s="73" t="str">
        <f>IFERROR(__xludf.DUMMYFUNCTION("""COMPUTED_VALUE"""),"13 043")</f>
        <v>13 043</v>
      </c>
      <c r="C48" s="73" t="str">
        <f>IFERROR(__xludf.DUMMYFUNCTION("""COMPUTED_VALUE"""),"+0,21%")</f>
        <v>+0,21%</v>
      </c>
      <c r="D48" s="73" t="str">
        <f>IFERROR(__xludf.DUMMYFUNCTION("""COMPUTED_VALUE"""),"13 151")</f>
        <v>13 151</v>
      </c>
      <c r="E48" s="73" t="str">
        <f>IFERROR(__xludf.DUMMYFUNCTION("""COMPUTED_VALUE"""),"12 915")</f>
        <v>12 915</v>
      </c>
      <c r="F48" s="73">
        <f>IFERROR(__xludf.DUMMYFUNCTION("""COMPUTED_VALUE"""),162.0)</f>
        <v>162</v>
      </c>
      <c r="G48" s="73">
        <f>IFERROR(__xludf.DUMMYFUNCTION("""COMPUTED_VALUE"""),69.0)</f>
        <v>69</v>
      </c>
      <c r="H48" s="73" t="str">
        <f>IFERROR(__xludf.DUMMYFUNCTION("""COMPUTED_VALUE"""),"19 600")</f>
        <v>19 600</v>
      </c>
      <c r="I48" s="73"/>
    </row>
    <row r="49">
      <c r="A49" s="77" t="str">
        <f>IFERROR(__xludf.DUMMYFUNCTION("""COMPUTED_VALUE"""),"GAZR-9.26")</f>
        <v>GAZR-9.26</v>
      </c>
      <c r="B49" s="73" t="str">
        <f>IFERROR(__xludf.DUMMYFUNCTION("""COMPUTED_VALUE"""),"13 505")</f>
        <v>13 505</v>
      </c>
      <c r="C49" s="73" t="str">
        <f>IFERROR(__xludf.DUMMYFUNCTION("""COMPUTED_VALUE"""),"-0,38%")</f>
        <v>-0,38%</v>
      </c>
      <c r="D49" s="73" t="str">
        <f>IFERROR(__xludf.DUMMYFUNCTION("""COMPUTED_VALUE"""),"13 638")</f>
        <v>13 638</v>
      </c>
      <c r="E49" s="73" t="str">
        <f>IFERROR(__xludf.DUMMYFUNCTION("""COMPUTED_VALUE"""),"13 438")</f>
        <v>13 438</v>
      </c>
      <c r="F49" s="73">
        <f>IFERROR(__xludf.DUMMYFUNCTION("""COMPUTED_VALUE"""),24.0)</f>
        <v>24</v>
      </c>
      <c r="G49" s="73">
        <f>IFERROR(__xludf.DUMMYFUNCTION("""COMPUTED_VALUE"""),17.0)</f>
        <v>17</v>
      </c>
      <c r="H49" s="73" t="str">
        <f>IFERROR(__xludf.DUMMYFUNCTION("""COMPUTED_VALUE"""),"1 348")</f>
        <v>1 348</v>
      </c>
      <c r="I49" s="73"/>
    </row>
    <row r="50">
      <c r="A50" s="77" t="str">
        <f>IFERROR(__xludf.DUMMYFUNCTION("""COMPUTED_VALUE"""),"*Фьючерсный контракт на обыкновенные акции МКПАО «Хэдхантер»*")</f>
        <v>*Фьючерсный контракт на обыкновенные акции МКПАО «Хэдхантер»*</v>
      </c>
      <c r="B50" s="73"/>
      <c r="C50" s="73"/>
      <c r="D50" s="73"/>
      <c r="E50" s="73"/>
      <c r="F50" s="73"/>
      <c r="G50" s="73"/>
      <c r="H50" s="73"/>
      <c r="I50" s="73"/>
    </row>
    <row r="51">
      <c r="A51" s="77" t="str">
        <f>IFERROR(__xludf.DUMMYFUNCTION("""COMPUTED_VALUE"""),"HEAD-12.25")</f>
        <v>HEAD-12.25</v>
      </c>
      <c r="B51" s="73" t="str">
        <f>IFERROR(__xludf.DUMMYFUNCTION("""COMPUTED_VALUE"""),"3 031")</f>
        <v>3 031</v>
      </c>
      <c r="C51" s="73" t="str">
        <f>IFERROR(__xludf.DUMMYFUNCTION("""COMPUTED_VALUE"""),"-1,59%")</f>
        <v>-1,59%</v>
      </c>
      <c r="D51" s="73" t="str">
        <f>IFERROR(__xludf.DUMMYFUNCTION("""COMPUTED_VALUE"""),"3 080")</f>
        <v>3 080</v>
      </c>
      <c r="E51" s="73" t="str">
        <f>IFERROR(__xludf.DUMMYFUNCTION("""COMPUTED_VALUE"""),"3 007")</f>
        <v>3 007</v>
      </c>
      <c r="F51" s="73">
        <f>IFERROR(__xludf.DUMMYFUNCTION("""COMPUTED_VALUE"""),856.0)</f>
        <v>856</v>
      </c>
      <c r="G51" s="73">
        <f>IFERROR(__xludf.DUMMYFUNCTION("""COMPUTED_VALUE"""),130.0)</f>
        <v>130</v>
      </c>
      <c r="H51" s="73" t="str">
        <f>IFERROR(__xludf.DUMMYFUNCTION("""COMPUTED_VALUE"""),"44 286")</f>
        <v>44 286</v>
      </c>
      <c r="I51" s="73"/>
    </row>
    <row r="52">
      <c r="A52" s="77" t="str">
        <f>IFERROR(__xludf.DUMMYFUNCTION("""COMPUTED_VALUE"""),"HEAD-3.26")</f>
        <v>HEAD-3.26</v>
      </c>
      <c r="B52" s="73" t="str">
        <f>IFERROR(__xludf.DUMMYFUNCTION("""COMPUTED_VALUE"""),"3 016")</f>
        <v>3 016</v>
      </c>
      <c r="C52" s="73" t="str">
        <f>IFERROR(__xludf.DUMMYFUNCTION("""COMPUTED_VALUE"""),"-2,93%")</f>
        <v>-2,93%</v>
      </c>
      <c r="D52" s="73" t="str">
        <f>IFERROR(__xludf.DUMMYFUNCTION("""COMPUTED_VALUE"""),"3 069")</f>
        <v>3 069</v>
      </c>
      <c r="E52" s="73" t="str">
        <f>IFERROR(__xludf.DUMMYFUNCTION("""COMPUTED_VALUE"""),"3 016")</f>
        <v>3 016</v>
      </c>
      <c r="F52" s="73">
        <f>IFERROR(__xludf.DUMMYFUNCTION("""COMPUTED_VALUE"""),52.0)</f>
        <v>52</v>
      </c>
      <c r="G52" s="73">
        <f>IFERROR(__xludf.DUMMYFUNCTION("""COMPUTED_VALUE"""),24.0)</f>
        <v>24</v>
      </c>
      <c r="H52" s="73">
        <f>IFERROR(__xludf.DUMMYFUNCTION("""COMPUTED_VALUE"""),460.0)</f>
        <v>460</v>
      </c>
      <c r="I52" s="73"/>
    </row>
    <row r="53">
      <c r="A53" s="77" t="str">
        <f>IFERROR(__xludf.DUMMYFUNCTION("""COMPUTED_VALUE"""),"*Фьючерсный контракт на обыкновенные акции ПАО «РусГидро»*")</f>
        <v>*Фьючерсный контракт на обыкновенные акции ПАО «РусГидро»*</v>
      </c>
      <c r="B53" s="73"/>
      <c r="C53" s="73"/>
      <c r="D53" s="73"/>
      <c r="E53" s="73"/>
      <c r="F53" s="73"/>
      <c r="G53" s="73"/>
      <c r="H53" s="73"/>
      <c r="I53" s="73"/>
    </row>
    <row r="54">
      <c r="A54" s="77" t="str">
        <f>IFERROR(__xludf.DUMMYFUNCTION("""COMPUTED_VALUE"""),"HYDR-12.25")</f>
        <v>HYDR-12.25</v>
      </c>
      <c r="B54" s="73" t="str">
        <f>IFERROR(__xludf.DUMMYFUNCTION("""COMPUTED_VALUE"""),"3 910")</f>
        <v>3 910</v>
      </c>
      <c r="C54" s="73" t="str">
        <f>IFERROR(__xludf.DUMMYFUNCTION("""COMPUTED_VALUE"""),"+2,89%")</f>
        <v>+2,89%</v>
      </c>
      <c r="D54" s="73" t="str">
        <f>IFERROR(__xludf.DUMMYFUNCTION("""COMPUTED_VALUE"""),"3 911")</f>
        <v>3 911</v>
      </c>
      <c r="E54" s="73" t="str">
        <f>IFERROR(__xludf.DUMMYFUNCTION("""COMPUTED_VALUE"""),"3 759")</f>
        <v>3 759</v>
      </c>
      <c r="F54" s="73" t="str">
        <f>IFERROR(__xludf.DUMMYFUNCTION("""COMPUTED_VALUE"""),"3 014")</f>
        <v>3 014</v>
      </c>
      <c r="G54" s="73">
        <f>IFERROR(__xludf.DUMMYFUNCTION("""COMPUTED_VALUE"""),610.0)</f>
        <v>610</v>
      </c>
      <c r="H54" s="73" t="str">
        <f>IFERROR(__xludf.DUMMYFUNCTION("""COMPUTED_VALUE"""),"21 172")</f>
        <v>21 172</v>
      </c>
      <c r="I54" s="73"/>
    </row>
    <row r="55">
      <c r="A55" s="77" t="str">
        <f>IFERROR(__xludf.DUMMYFUNCTION("""COMPUTED_VALUE"""),"HYDR-3.26")</f>
        <v>HYDR-3.26</v>
      </c>
      <c r="B55" s="73" t="str">
        <f>IFERROR(__xludf.DUMMYFUNCTION("""COMPUTED_VALUE"""),"4 068")</f>
        <v>4 068</v>
      </c>
      <c r="C55" s="73" t="str">
        <f>IFERROR(__xludf.DUMMYFUNCTION("""COMPUTED_VALUE"""),"+1,83%")</f>
        <v>+1,83%</v>
      </c>
      <c r="D55" s="73" t="str">
        <f>IFERROR(__xludf.DUMMYFUNCTION("""COMPUTED_VALUE"""),"4 068")</f>
        <v>4 068</v>
      </c>
      <c r="E55" s="73" t="str">
        <f>IFERROR(__xludf.DUMMYFUNCTION("""COMPUTED_VALUE"""),"3 950")</f>
        <v>3 950</v>
      </c>
      <c r="F55" s="73">
        <f>IFERROR(__xludf.DUMMYFUNCTION("""COMPUTED_VALUE"""),25.0)</f>
        <v>25</v>
      </c>
      <c r="G55" s="73">
        <f>IFERROR(__xludf.DUMMYFUNCTION("""COMPUTED_VALUE"""),9.0)</f>
        <v>9</v>
      </c>
      <c r="H55" s="73">
        <f>IFERROR(__xludf.DUMMYFUNCTION("""COMPUTED_VALUE"""),602.0)</f>
        <v>602</v>
      </c>
      <c r="I55" s="73"/>
    </row>
    <row r="56">
      <c r="A56" s="77" t="str">
        <f>IFERROR(__xludf.DUMMYFUNCTION("""COMPUTED_VALUE"""),"*Фьючерсный контракт на обыкновенные акции ПАО «Интер РАО ЕЭС»*")</f>
        <v>*Фьючерсный контракт на обыкновенные акции ПАО «Интер РАО ЕЭС»*</v>
      </c>
      <c r="B56" s="73"/>
      <c r="C56" s="73"/>
      <c r="D56" s="73"/>
      <c r="E56" s="73"/>
      <c r="F56" s="73"/>
      <c r="G56" s="73"/>
      <c r="H56" s="73"/>
      <c r="I56" s="73"/>
    </row>
    <row r="57">
      <c r="A57" s="77" t="str">
        <f>IFERROR(__xludf.DUMMYFUNCTION("""COMPUTED_VALUE"""),"IRAO-12.25")</f>
        <v>IRAO-12.25</v>
      </c>
      <c r="B57" s="73" t="str">
        <f>IFERROR(__xludf.DUMMYFUNCTION("""COMPUTED_VALUE"""),"28 385")</f>
        <v>28 385</v>
      </c>
      <c r="C57" s="73" t="str">
        <f>IFERROR(__xludf.DUMMYFUNCTION("""COMPUTED_VALUE"""),"+4,49%")</f>
        <v>+4,49%</v>
      </c>
      <c r="D57" s="73" t="str">
        <f>IFERROR(__xludf.DUMMYFUNCTION("""COMPUTED_VALUE"""),"29 270")</f>
        <v>29 270</v>
      </c>
      <c r="E57" s="73" t="str">
        <f>IFERROR(__xludf.DUMMYFUNCTION("""COMPUTED_VALUE"""),"26 402")</f>
        <v>26 402</v>
      </c>
      <c r="F57" s="73" t="str">
        <f>IFERROR(__xludf.DUMMYFUNCTION("""COMPUTED_VALUE"""),"6 277")</f>
        <v>6 277</v>
      </c>
      <c r="G57" s="73" t="str">
        <f>IFERROR(__xludf.DUMMYFUNCTION("""COMPUTED_VALUE"""),"2 208")</f>
        <v>2 208</v>
      </c>
      <c r="H57" s="73" t="str">
        <f>IFERROR(__xludf.DUMMYFUNCTION("""COMPUTED_VALUE"""),"9 408")</f>
        <v>9 408</v>
      </c>
      <c r="I57" s="73"/>
    </row>
    <row r="58">
      <c r="A58" s="77" t="str">
        <f>IFERROR(__xludf.DUMMYFUNCTION("""COMPUTED_VALUE"""),"IRAO-3.26")</f>
        <v>IRAO-3.26</v>
      </c>
      <c r="B58" s="73" t="str">
        <f>IFERROR(__xludf.DUMMYFUNCTION("""COMPUTED_VALUE"""),"29 492")</f>
        <v>29 492</v>
      </c>
      <c r="C58" s="73" t="str">
        <f>IFERROR(__xludf.DUMMYFUNCTION("""COMPUTED_VALUE"""),"+4,58%")</f>
        <v>+4,58%</v>
      </c>
      <c r="D58" s="73" t="str">
        <f>IFERROR(__xludf.DUMMYFUNCTION("""COMPUTED_VALUE"""),"30 312")</f>
        <v>30 312</v>
      </c>
      <c r="E58" s="73" t="str">
        <f>IFERROR(__xludf.DUMMYFUNCTION("""COMPUTED_VALUE"""),"27 777")</f>
        <v>27 777</v>
      </c>
      <c r="F58" s="73">
        <f>IFERROR(__xludf.DUMMYFUNCTION("""COMPUTED_VALUE"""),119.0)</f>
        <v>119</v>
      </c>
      <c r="G58" s="73">
        <f>IFERROR(__xludf.DUMMYFUNCTION("""COMPUTED_VALUE"""),86.0)</f>
        <v>86</v>
      </c>
      <c r="H58" s="73">
        <f>IFERROR(__xludf.DUMMYFUNCTION("""COMPUTED_VALUE"""),214.0)</f>
        <v>214</v>
      </c>
      <c r="I58" s="73"/>
    </row>
    <row r="59">
      <c r="A59" s="77" t="str">
        <f>IFERROR(__xludf.DUMMYFUNCTION("""COMPUTED_VALUE"""),"*Фьючерсный контракт на обыкновенные акции ПАО ""Артген""*")</f>
        <v>*Фьючерсный контракт на обыкновенные акции ПАО "Артген"*</v>
      </c>
      <c r="B59" s="73"/>
      <c r="C59" s="73"/>
      <c r="D59" s="73"/>
      <c r="E59" s="73"/>
      <c r="F59" s="73"/>
      <c r="G59" s="73"/>
      <c r="H59" s="73"/>
      <c r="I59" s="73"/>
    </row>
    <row r="60">
      <c r="A60" s="77" t="str">
        <f>IFERROR(__xludf.DUMMYFUNCTION("""COMPUTED_VALUE"""),"ISKJ-12.25")</f>
        <v>ISKJ-12.25</v>
      </c>
      <c r="B60" s="73">
        <f>IFERROR(__xludf.DUMMYFUNCTION("""COMPUTED_VALUE"""),671.0)</f>
        <v>671</v>
      </c>
      <c r="C60" s="73" t="str">
        <f>IFERROR(__xludf.DUMMYFUNCTION("""COMPUTED_VALUE"""),"+0,30%")</f>
        <v>+0,30%</v>
      </c>
      <c r="D60" s="73">
        <f>IFERROR(__xludf.DUMMYFUNCTION("""COMPUTED_VALUE"""),672.0)</f>
        <v>672</v>
      </c>
      <c r="E60" s="73">
        <f>IFERROR(__xludf.DUMMYFUNCTION("""COMPUTED_VALUE"""),660.0)</f>
        <v>660</v>
      </c>
      <c r="F60" s="73">
        <f>IFERROR(__xludf.DUMMYFUNCTION("""COMPUTED_VALUE"""),52.0)</f>
        <v>52</v>
      </c>
      <c r="G60" s="73">
        <f>IFERROR(__xludf.DUMMYFUNCTION("""COMPUTED_VALUE"""),11.0)</f>
        <v>11</v>
      </c>
      <c r="H60" s="73" t="str">
        <f>IFERROR(__xludf.DUMMYFUNCTION("""COMPUTED_VALUE"""),"2 614")</f>
        <v>2 614</v>
      </c>
      <c r="I60" s="73"/>
    </row>
    <row r="61">
      <c r="A61" s="77" t="str">
        <f>IFERROR(__xludf.DUMMYFUNCTION("""COMPUTED_VALUE"""),"ISKJ-3.26")</f>
        <v>ISKJ-3.26</v>
      </c>
      <c r="B61" s="73">
        <f>IFERROR(__xludf.DUMMYFUNCTION("""COMPUTED_VALUE"""),684.0)</f>
        <v>684</v>
      </c>
      <c r="C61" s="73" t="str">
        <f>IFERROR(__xludf.DUMMYFUNCTION("""COMPUTED_VALUE"""),"-0,87%")</f>
        <v>-0,87%</v>
      </c>
      <c r="D61" s="73">
        <f>IFERROR(__xludf.DUMMYFUNCTION("""COMPUTED_VALUE"""),686.0)</f>
        <v>686</v>
      </c>
      <c r="E61" s="73">
        <f>IFERROR(__xludf.DUMMYFUNCTION("""COMPUTED_VALUE"""),684.0)</f>
        <v>684</v>
      </c>
      <c r="F61" s="73">
        <f>IFERROR(__xludf.DUMMYFUNCTION("""COMPUTED_VALUE"""),11.0)</f>
        <v>11</v>
      </c>
      <c r="G61" s="73">
        <f>IFERROR(__xludf.DUMMYFUNCTION("""COMPUTED_VALUE"""),3.0)</f>
        <v>3</v>
      </c>
      <c r="H61" s="73">
        <f>IFERROR(__xludf.DUMMYFUNCTION("""COMPUTED_VALUE"""),180.0)</f>
        <v>180</v>
      </c>
      <c r="I61" s="73"/>
    </row>
    <row r="62">
      <c r="A62" s="77" t="str">
        <f>IFERROR(__xludf.DUMMYFUNCTION("""COMPUTED_VALUE"""),"*Фьючерсный контракт на обыкновенные акции ПАО ""КАМАЗ""*")</f>
        <v>*Фьючерсный контракт на обыкновенные акции ПАО "КАМАЗ"*</v>
      </c>
      <c r="B62" s="73"/>
      <c r="C62" s="73"/>
      <c r="D62" s="73"/>
      <c r="E62" s="73"/>
      <c r="F62" s="73"/>
      <c r="G62" s="73"/>
      <c r="H62" s="73"/>
      <c r="I62" s="73"/>
    </row>
    <row r="63">
      <c r="A63" s="77" t="str">
        <f>IFERROR(__xludf.DUMMYFUNCTION("""COMPUTED_VALUE"""),"KMAZ-12.25")</f>
        <v>KMAZ-12.25</v>
      </c>
      <c r="B63" s="73">
        <f>IFERROR(__xludf.DUMMYFUNCTION("""COMPUTED_VALUE"""),820.0)</f>
        <v>820</v>
      </c>
      <c r="C63" s="73" t="str">
        <f>IFERROR(__xludf.DUMMYFUNCTION("""COMPUTED_VALUE"""),"-0,85%")</f>
        <v>-0,85%</v>
      </c>
      <c r="D63" s="73">
        <f>IFERROR(__xludf.DUMMYFUNCTION("""COMPUTED_VALUE"""),833.0)</f>
        <v>833</v>
      </c>
      <c r="E63" s="73">
        <f>IFERROR(__xludf.DUMMYFUNCTION("""COMPUTED_VALUE"""),818.0)</f>
        <v>818</v>
      </c>
      <c r="F63" s="73" t="str">
        <f>IFERROR(__xludf.DUMMYFUNCTION("""COMPUTED_VALUE"""),"3 904")</f>
        <v>3 904</v>
      </c>
      <c r="G63" s="73">
        <f>IFERROR(__xludf.DUMMYFUNCTION("""COMPUTED_VALUE"""),148.0)</f>
        <v>148</v>
      </c>
      <c r="H63" s="73" t="str">
        <f>IFERROR(__xludf.DUMMYFUNCTION("""COMPUTED_VALUE"""),"10 610")</f>
        <v>10 610</v>
      </c>
      <c r="I63" s="73"/>
    </row>
    <row r="64">
      <c r="A64" s="77" t="str">
        <f>IFERROR(__xludf.DUMMYFUNCTION("""COMPUTED_VALUE"""),"KMAZ-3.26")</f>
        <v>KMAZ-3.26</v>
      </c>
      <c r="B64" s="73">
        <f>IFERROR(__xludf.DUMMYFUNCTION("""COMPUTED_VALUE"""),860.0)</f>
        <v>860</v>
      </c>
      <c r="C64" s="73" t="str">
        <f>IFERROR(__xludf.DUMMYFUNCTION("""COMPUTED_VALUE"""),"-0,23%")</f>
        <v>-0,23%</v>
      </c>
      <c r="D64" s="73">
        <f>IFERROR(__xludf.DUMMYFUNCTION("""COMPUTED_VALUE"""),860.0)</f>
        <v>860</v>
      </c>
      <c r="E64" s="73">
        <f>IFERROR(__xludf.DUMMYFUNCTION("""COMPUTED_VALUE"""),855.0)</f>
        <v>855</v>
      </c>
      <c r="F64" s="73">
        <f>IFERROR(__xludf.DUMMYFUNCTION("""COMPUTED_VALUE"""),11.0)</f>
        <v>11</v>
      </c>
      <c r="G64" s="73">
        <f>IFERROR(__xludf.DUMMYFUNCTION("""COMPUTED_VALUE"""),6.0)</f>
        <v>6</v>
      </c>
      <c r="H64" s="73">
        <f>IFERROR(__xludf.DUMMYFUNCTION("""COMPUTED_VALUE"""),758.0)</f>
        <v>758</v>
      </c>
      <c r="I64" s="73"/>
    </row>
    <row r="65">
      <c r="A65" s="77" t="str">
        <f>IFERROR(__xludf.DUMMYFUNCTION("""COMPUTED_VALUE"""),"*Фьючерсный контракт на обыкновенные акции ПАО ""ЛК ""Европлан""*")</f>
        <v>*Фьючерсный контракт на обыкновенные акции ПАО "ЛК "Европлан"*</v>
      </c>
      <c r="B65" s="73"/>
      <c r="C65" s="73"/>
      <c r="D65" s="73"/>
      <c r="E65" s="73"/>
      <c r="F65" s="73"/>
      <c r="G65" s="73"/>
      <c r="H65" s="73"/>
      <c r="I65" s="73"/>
    </row>
    <row r="66">
      <c r="A66" s="77" t="str">
        <f>IFERROR(__xludf.DUMMYFUNCTION("""COMPUTED_VALUE"""),"LEAS-12.25")</f>
        <v>LEAS-12.25</v>
      </c>
      <c r="B66" s="73">
        <f>IFERROR(__xludf.DUMMYFUNCTION("""COMPUTED_VALUE"""),497.0)</f>
        <v>497</v>
      </c>
      <c r="C66" s="73" t="str">
        <f>IFERROR(__xludf.DUMMYFUNCTION("""COMPUTED_VALUE"""),"-%")</f>
        <v>-%</v>
      </c>
      <c r="D66" s="73">
        <f>IFERROR(__xludf.DUMMYFUNCTION("""COMPUTED_VALUE"""),502.0)</f>
        <v>502</v>
      </c>
      <c r="E66" s="73">
        <f>IFERROR(__xludf.DUMMYFUNCTION("""COMPUTED_VALUE"""),490.0)</f>
        <v>490</v>
      </c>
      <c r="F66" s="73" t="str">
        <f>IFERROR(__xludf.DUMMYFUNCTION("""COMPUTED_VALUE"""),"11 533")</f>
        <v>11 533</v>
      </c>
      <c r="G66" s="73">
        <f>IFERROR(__xludf.DUMMYFUNCTION("""COMPUTED_VALUE"""),297.0)</f>
        <v>297</v>
      </c>
      <c r="H66" s="73" t="str">
        <f>IFERROR(__xludf.DUMMYFUNCTION("""COMPUTED_VALUE"""),"157 386")</f>
        <v>157 386</v>
      </c>
      <c r="I66" s="73"/>
    </row>
    <row r="67">
      <c r="A67" s="77" t="str">
        <f>IFERROR(__xludf.DUMMYFUNCTION("""COMPUTED_VALUE"""),"LEAS-3.26")</f>
        <v>LEAS-3.26</v>
      </c>
      <c r="B67" s="73">
        <f>IFERROR(__xludf.DUMMYFUNCTION("""COMPUTED_VALUE"""),506.0)</f>
        <v>506</v>
      </c>
      <c r="C67" s="73" t="str">
        <f>IFERROR(__xludf.DUMMYFUNCTION("""COMPUTED_VALUE"""),"-0,98%")</f>
        <v>-0,98%</v>
      </c>
      <c r="D67" s="73">
        <f>IFERROR(__xludf.DUMMYFUNCTION("""COMPUTED_VALUE"""),512.0)</f>
        <v>512</v>
      </c>
      <c r="E67" s="73">
        <f>IFERROR(__xludf.DUMMYFUNCTION("""COMPUTED_VALUE"""),504.0)</f>
        <v>504</v>
      </c>
      <c r="F67" s="73">
        <f>IFERROR(__xludf.DUMMYFUNCTION("""COMPUTED_VALUE"""),135.0)</f>
        <v>135</v>
      </c>
      <c r="G67" s="73">
        <f>IFERROR(__xludf.DUMMYFUNCTION("""COMPUTED_VALUE"""),40.0)</f>
        <v>40</v>
      </c>
      <c r="H67" s="73" t="str">
        <f>IFERROR(__xludf.DUMMYFUNCTION("""COMPUTED_VALUE"""),"27 614")</f>
        <v>27 614</v>
      </c>
      <c r="I67" s="73"/>
    </row>
    <row r="68">
      <c r="A68" s="77" t="str">
        <f>IFERROR(__xludf.DUMMYFUNCTION("""COMPUTED_VALUE"""),"*Фьючерсный контракт на обыкновенные акции ПАО «НК «ЛУКОЙЛ»*")</f>
        <v>*Фьючерсный контракт на обыкновенные акции ПАО «НК «ЛУКОЙЛ»*</v>
      </c>
      <c r="B68" s="73"/>
      <c r="C68" s="73"/>
      <c r="D68" s="73"/>
      <c r="E68" s="73"/>
      <c r="F68" s="73"/>
      <c r="G68" s="73"/>
      <c r="H68" s="73"/>
      <c r="I68" s="73"/>
    </row>
    <row r="69">
      <c r="A69" s="77" t="str">
        <f>IFERROR(__xludf.DUMMYFUNCTION("""COMPUTED_VALUE"""),"LKOH-12.25")</f>
        <v>LKOH-12.25</v>
      </c>
      <c r="B69" s="73" t="str">
        <f>IFERROR(__xludf.DUMMYFUNCTION("""COMPUTED_VALUE"""),"58 267")</f>
        <v>58 267</v>
      </c>
      <c r="C69" s="73" t="str">
        <f>IFERROR(__xludf.DUMMYFUNCTION("""COMPUTED_VALUE"""),"-1,10%")</f>
        <v>-1,10%</v>
      </c>
      <c r="D69" s="73" t="str">
        <f>IFERROR(__xludf.DUMMYFUNCTION("""COMPUTED_VALUE"""),"58 982")</f>
        <v>58 982</v>
      </c>
      <c r="E69" s="73" t="str">
        <f>IFERROR(__xludf.DUMMYFUNCTION("""COMPUTED_VALUE"""),"58 111")</f>
        <v>58 111</v>
      </c>
      <c r="F69" s="73" t="str">
        <f>IFERROR(__xludf.DUMMYFUNCTION("""COMPUTED_VALUE"""),"9 342")</f>
        <v>9 342</v>
      </c>
      <c r="G69" s="73" t="str">
        <f>IFERROR(__xludf.DUMMYFUNCTION("""COMPUTED_VALUE"""),"2 826")</f>
        <v>2 826</v>
      </c>
      <c r="H69" s="73" t="str">
        <f>IFERROR(__xludf.DUMMYFUNCTION("""COMPUTED_VALUE"""),"26 324")</f>
        <v>26 324</v>
      </c>
      <c r="I69" s="73"/>
    </row>
    <row r="70">
      <c r="A70" s="77" t="str">
        <f>IFERROR(__xludf.DUMMYFUNCTION("""COMPUTED_VALUE"""),"LKOH-3.26")</f>
        <v>LKOH-3.26</v>
      </c>
      <c r="B70" s="73" t="str">
        <f>IFERROR(__xludf.DUMMYFUNCTION("""COMPUTED_VALUE"""),"59 700")</f>
        <v>59 700</v>
      </c>
      <c r="C70" s="73" t="str">
        <f>IFERROR(__xludf.DUMMYFUNCTION("""COMPUTED_VALUE"""),"-0,35%")</f>
        <v>-0,35%</v>
      </c>
      <c r="D70" s="73" t="str">
        <f>IFERROR(__xludf.DUMMYFUNCTION("""COMPUTED_VALUE"""),"59 921")</f>
        <v>59 921</v>
      </c>
      <c r="E70" s="73" t="str">
        <f>IFERROR(__xludf.DUMMYFUNCTION("""COMPUTED_VALUE"""),"59 287")</f>
        <v>59 287</v>
      </c>
      <c r="F70" s="73">
        <f>IFERROR(__xludf.DUMMYFUNCTION("""COMPUTED_VALUE"""),42.0)</f>
        <v>42</v>
      </c>
      <c r="G70" s="73">
        <f>IFERROR(__xludf.DUMMYFUNCTION("""COMPUTED_VALUE"""),40.0)</f>
        <v>40</v>
      </c>
      <c r="H70" s="73">
        <f>IFERROR(__xludf.DUMMYFUNCTION("""COMPUTED_VALUE"""),482.0)</f>
        <v>482</v>
      </c>
      <c r="I70" s="73"/>
    </row>
    <row r="71">
      <c r="A71" s="77" t="str">
        <f>IFERROR(__xludf.DUMMYFUNCTION("""COMPUTED_VALUE"""),"LKOH-6.26")</f>
        <v>LKOH-6.26</v>
      </c>
      <c r="B71" s="73" t="str">
        <f>IFERROR(__xludf.DUMMYFUNCTION("""COMPUTED_VALUE"""),"60 089")</f>
        <v>60 089</v>
      </c>
      <c r="C71" s="73" t="str">
        <f>IFERROR(__xludf.DUMMYFUNCTION("""COMPUTED_VALUE"""),"-0,41%")</f>
        <v>-0,41%</v>
      </c>
      <c r="D71" s="73" t="str">
        <f>IFERROR(__xludf.DUMMYFUNCTION("""COMPUTED_VALUE"""),"60 089")</f>
        <v>60 089</v>
      </c>
      <c r="E71" s="73" t="str">
        <f>IFERROR(__xludf.DUMMYFUNCTION("""COMPUTED_VALUE"""),"59 683")</f>
        <v>59 683</v>
      </c>
      <c r="F71" s="73">
        <f>IFERROR(__xludf.DUMMYFUNCTION("""COMPUTED_VALUE"""),15.0)</f>
        <v>15</v>
      </c>
      <c r="G71" s="73">
        <f>IFERROR(__xludf.DUMMYFUNCTION("""COMPUTED_VALUE"""),13.0)</f>
        <v>13</v>
      </c>
      <c r="H71" s="73">
        <f>IFERROR(__xludf.DUMMYFUNCTION("""COMPUTED_VALUE"""),454.0)</f>
        <v>454</v>
      </c>
      <c r="I71" s="73"/>
    </row>
    <row r="72">
      <c r="A72" s="77" t="str">
        <f>IFERROR(__xludf.DUMMYFUNCTION("""COMPUTED_VALUE"""),"LKOH-9.26")</f>
        <v>LKOH-9.26</v>
      </c>
      <c r="B72" s="73" t="str">
        <f>IFERROR(__xludf.DUMMYFUNCTION("""COMPUTED_VALUE"""),"62 469")</f>
        <v>62 469</v>
      </c>
      <c r="C72" s="73" t="str">
        <f>IFERROR(__xludf.DUMMYFUNCTION("""COMPUTED_VALUE"""),"+0,64%")</f>
        <v>+0,64%</v>
      </c>
      <c r="D72" s="73" t="str">
        <f>IFERROR(__xludf.DUMMYFUNCTION("""COMPUTED_VALUE"""),"62 812")</f>
        <v>62 812</v>
      </c>
      <c r="E72" s="73" t="str">
        <f>IFERROR(__xludf.DUMMYFUNCTION("""COMPUTED_VALUE"""),"62 200")</f>
        <v>62 200</v>
      </c>
      <c r="F72" s="73">
        <f>IFERROR(__xludf.DUMMYFUNCTION("""COMPUTED_VALUE"""),4.0)</f>
        <v>4</v>
      </c>
      <c r="G72" s="73">
        <f>IFERROR(__xludf.DUMMYFUNCTION("""COMPUTED_VALUE"""),4.0)</f>
        <v>4</v>
      </c>
      <c r="H72" s="73">
        <f>IFERROR(__xludf.DUMMYFUNCTION("""COMPUTED_VALUE"""),102.0)</f>
        <v>102</v>
      </c>
      <c r="I72" s="73"/>
    </row>
    <row r="73">
      <c r="A73" s="77" t="str">
        <f>IFERROR(__xludf.DUMMYFUNCTION("""COMPUTED_VALUE"""),"*Фьючерсный контракт на обыкновенные акции ПАО «Мечел»*")</f>
        <v>*Фьючерсный контракт на обыкновенные акции ПАО «Мечел»*</v>
      </c>
      <c r="B73" s="73"/>
      <c r="C73" s="73"/>
      <c r="D73" s="73"/>
      <c r="E73" s="73"/>
      <c r="F73" s="73"/>
      <c r="G73" s="73"/>
      <c r="H73" s="73"/>
      <c r="I73" s="73"/>
    </row>
    <row r="74">
      <c r="A74" s="77" t="str">
        <f>IFERROR(__xludf.DUMMYFUNCTION("""COMPUTED_VALUE"""),"MTLR-12.25")</f>
        <v>MTLR-12.25</v>
      </c>
      <c r="B74" s="73" t="str">
        <f>IFERROR(__xludf.DUMMYFUNCTION("""COMPUTED_VALUE"""),"6 664")</f>
        <v>6 664</v>
      </c>
      <c r="C74" s="73" t="str">
        <f>IFERROR(__xludf.DUMMYFUNCTION("""COMPUTED_VALUE"""),"+1,71%")</f>
        <v>+1,71%</v>
      </c>
      <c r="D74" s="73" t="str">
        <f>IFERROR(__xludf.DUMMYFUNCTION("""COMPUTED_VALUE"""),"6 749")</f>
        <v>6 749</v>
      </c>
      <c r="E74" s="73" t="str">
        <f>IFERROR(__xludf.DUMMYFUNCTION("""COMPUTED_VALUE"""),"6 466")</f>
        <v>6 466</v>
      </c>
      <c r="F74" s="73" t="str">
        <f>IFERROR(__xludf.DUMMYFUNCTION("""COMPUTED_VALUE"""),"8 979")</f>
        <v>8 979</v>
      </c>
      <c r="G74" s="73" t="str">
        <f>IFERROR(__xludf.DUMMYFUNCTION("""COMPUTED_VALUE"""),"1 714")</f>
        <v>1 714</v>
      </c>
      <c r="H74" s="73" t="str">
        <f>IFERROR(__xludf.DUMMYFUNCTION("""COMPUTED_VALUE"""),"53 982")</f>
        <v>53 982</v>
      </c>
      <c r="I74" s="73"/>
    </row>
    <row r="75">
      <c r="A75" s="77" t="str">
        <f>IFERROR(__xludf.DUMMYFUNCTION("""COMPUTED_VALUE"""),"MTLR-3.26")</f>
        <v>MTLR-3.26</v>
      </c>
      <c r="B75" s="73" t="str">
        <f>IFERROR(__xludf.DUMMYFUNCTION("""COMPUTED_VALUE"""),"6 660")</f>
        <v>6 660</v>
      </c>
      <c r="C75" s="73" t="str">
        <f>IFERROR(__xludf.DUMMYFUNCTION("""COMPUTED_VALUE"""),"+1,02%")</f>
        <v>+1,02%</v>
      </c>
      <c r="D75" s="73" t="str">
        <f>IFERROR(__xludf.DUMMYFUNCTION("""COMPUTED_VALUE"""),"6 727")</f>
        <v>6 727</v>
      </c>
      <c r="E75" s="73" t="str">
        <f>IFERROR(__xludf.DUMMYFUNCTION("""COMPUTED_VALUE"""),"6 500")</f>
        <v>6 500</v>
      </c>
      <c r="F75" s="73">
        <f>IFERROR(__xludf.DUMMYFUNCTION("""COMPUTED_VALUE"""),378.0)</f>
        <v>378</v>
      </c>
      <c r="G75" s="73">
        <f>IFERROR(__xludf.DUMMYFUNCTION("""COMPUTED_VALUE"""),92.0)</f>
        <v>92</v>
      </c>
      <c r="H75" s="73" t="str">
        <f>IFERROR(__xludf.DUMMYFUNCTION("""COMPUTED_VALUE"""),"4 320")</f>
        <v>4 320</v>
      </c>
      <c r="I75" s="73"/>
    </row>
    <row r="76">
      <c r="A76" s="77" t="str">
        <f>IFERROR(__xludf.DUMMYFUNCTION("""COMPUTED_VALUE"""),"*Фьючерсный контракт на обыкновенные акции МКПАО «МД Медикал Груп»*")</f>
        <v>*Фьючерсный контракт на обыкновенные акции МКПАО «МД Медикал Груп»*</v>
      </c>
      <c r="B76" s="73"/>
      <c r="C76" s="73"/>
      <c r="D76" s="73"/>
      <c r="E76" s="73"/>
      <c r="F76" s="73"/>
      <c r="G76" s="73"/>
      <c r="H76" s="73"/>
      <c r="I76" s="73"/>
    </row>
    <row r="77">
      <c r="A77" s="77" t="str">
        <f>IFERROR(__xludf.DUMMYFUNCTION("""COMPUTED_VALUE"""),"MDMG-12.25")</f>
        <v>MDMG-12.25</v>
      </c>
      <c r="B77" s="73" t="str">
        <f>IFERROR(__xludf.DUMMYFUNCTION("""COMPUTED_VALUE"""),"11 984")</f>
        <v>11 984</v>
      </c>
      <c r="C77" s="73" t="str">
        <f>IFERROR(__xludf.DUMMYFUNCTION("""COMPUTED_VALUE"""),"-0,75%")</f>
        <v>-0,75%</v>
      </c>
      <c r="D77" s="73" t="str">
        <f>IFERROR(__xludf.DUMMYFUNCTION("""COMPUTED_VALUE"""),"12 259")</f>
        <v>12 259</v>
      </c>
      <c r="E77" s="73" t="str">
        <f>IFERROR(__xludf.DUMMYFUNCTION("""COMPUTED_VALUE"""),"11 774")</f>
        <v>11 774</v>
      </c>
      <c r="F77" s="73" t="str">
        <f>IFERROR(__xludf.DUMMYFUNCTION("""COMPUTED_VALUE"""),"1 248")</f>
        <v>1 248</v>
      </c>
      <c r="G77" s="73">
        <f>IFERROR(__xludf.DUMMYFUNCTION("""COMPUTED_VALUE"""),431.0)</f>
        <v>431</v>
      </c>
      <c r="H77" s="73" t="str">
        <f>IFERROR(__xludf.DUMMYFUNCTION("""COMPUTED_VALUE"""),"1 918")</f>
        <v>1 918</v>
      </c>
      <c r="I77" s="73"/>
    </row>
    <row r="78">
      <c r="A78" s="77" t="str">
        <f>IFERROR(__xludf.DUMMYFUNCTION("""COMPUTED_VALUE"""),"MDMG-3.26")</f>
        <v>MDMG-3.26</v>
      </c>
      <c r="B78" s="73" t="str">
        <f>IFERROR(__xludf.DUMMYFUNCTION("""COMPUTED_VALUE"""),"12 511")</f>
        <v>12 511</v>
      </c>
      <c r="C78" s="73" t="str">
        <f>IFERROR(__xludf.DUMMYFUNCTION("""COMPUTED_VALUE"""),"-0,80%")</f>
        <v>-0,80%</v>
      </c>
      <c r="D78" s="73" t="str">
        <f>IFERROR(__xludf.DUMMYFUNCTION("""COMPUTED_VALUE"""),"12 683")</f>
        <v>12 683</v>
      </c>
      <c r="E78" s="73" t="str">
        <f>IFERROR(__xludf.DUMMYFUNCTION("""COMPUTED_VALUE"""),"12 425")</f>
        <v>12 425</v>
      </c>
      <c r="F78" s="73">
        <f>IFERROR(__xludf.DUMMYFUNCTION("""COMPUTED_VALUE"""),65.0)</f>
        <v>65</v>
      </c>
      <c r="G78" s="73">
        <f>IFERROR(__xludf.DUMMYFUNCTION("""COMPUTED_VALUE"""),26.0)</f>
        <v>26</v>
      </c>
      <c r="H78" s="73">
        <f>IFERROR(__xludf.DUMMYFUNCTION("""COMPUTED_VALUE"""),462.0)</f>
        <v>462</v>
      </c>
      <c r="I78" s="73"/>
    </row>
    <row r="79">
      <c r="A79" s="77" t="str">
        <f>IFERROR(__xludf.DUMMYFUNCTION("""COMPUTED_VALUE"""),"*Фьючерсный контракт на обыкновенные акции ПАО Московская Биржа*")</f>
        <v>*Фьючерсный контракт на обыкновенные акции ПАО Московская Биржа*</v>
      </c>
      <c r="B79" s="73"/>
      <c r="C79" s="73"/>
      <c r="D79" s="73"/>
      <c r="E79" s="73"/>
      <c r="F79" s="73"/>
      <c r="G79" s="73"/>
      <c r="H79" s="73"/>
      <c r="I79" s="73"/>
    </row>
    <row r="80">
      <c r="A80" s="77" t="str">
        <f>IFERROR(__xludf.DUMMYFUNCTION("""COMPUTED_VALUE"""),"MOEX-12.25")</f>
        <v>MOEX-12.25</v>
      </c>
      <c r="B80" s="73" t="str">
        <f>IFERROR(__xludf.DUMMYFUNCTION("""COMPUTED_VALUE"""),"16 037")</f>
        <v>16 037</v>
      </c>
      <c r="C80" s="73" t="str">
        <f>IFERROR(__xludf.DUMMYFUNCTION("""COMPUTED_VALUE"""),"-0,44%")</f>
        <v>-0,44%</v>
      </c>
      <c r="D80" s="73" t="str">
        <f>IFERROR(__xludf.DUMMYFUNCTION("""COMPUTED_VALUE"""),"16 199")</f>
        <v>16 199</v>
      </c>
      <c r="E80" s="73" t="str">
        <f>IFERROR(__xludf.DUMMYFUNCTION("""COMPUTED_VALUE"""),"15 930")</f>
        <v>15 930</v>
      </c>
      <c r="F80" s="73" t="str">
        <f>IFERROR(__xludf.DUMMYFUNCTION("""COMPUTED_VALUE"""),"4 122")</f>
        <v>4 122</v>
      </c>
      <c r="G80" s="73" t="str">
        <f>IFERROR(__xludf.DUMMYFUNCTION("""COMPUTED_VALUE"""),"1 467")</f>
        <v>1 467</v>
      </c>
      <c r="H80" s="73" t="str">
        <f>IFERROR(__xludf.DUMMYFUNCTION("""COMPUTED_VALUE"""),"25 784")</f>
        <v>25 784</v>
      </c>
      <c r="I80" s="73"/>
    </row>
    <row r="81">
      <c r="A81" s="77" t="str">
        <f>IFERROR(__xludf.DUMMYFUNCTION("""COMPUTED_VALUE"""),"MOEX-3.26")</f>
        <v>MOEX-3.26</v>
      </c>
      <c r="B81" s="73" t="str">
        <f>IFERROR(__xludf.DUMMYFUNCTION("""COMPUTED_VALUE"""),"16 799")</f>
        <v>16 799</v>
      </c>
      <c r="C81" s="73" t="str">
        <f>IFERROR(__xludf.DUMMYFUNCTION("""COMPUTED_VALUE"""),"+0,12%")</f>
        <v>+0,12%</v>
      </c>
      <c r="D81" s="73" t="str">
        <f>IFERROR(__xludf.DUMMYFUNCTION("""COMPUTED_VALUE"""),"16 814")</f>
        <v>16 814</v>
      </c>
      <c r="E81" s="73" t="str">
        <f>IFERROR(__xludf.DUMMYFUNCTION("""COMPUTED_VALUE"""),"16 638")</f>
        <v>16 638</v>
      </c>
      <c r="F81" s="73">
        <f>IFERROR(__xludf.DUMMYFUNCTION("""COMPUTED_VALUE"""),163.0)</f>
        <v>163</v>
      </c>
      <c r="G81" s="73">
        <f>IFERROR(__xludf.DUMMYFUNCTION("""COMPUTED_VALUE"""),40.0)</f>
        <v>40</v>
      </c>
      <c r="H81" s="73">
        <f>IFERROR(__xludf.DUMMYFUNCTION("""COMPUTED_VALUE"""),804.0)</f>
        <v>804</v>
      </c>
      <c r="I81" s="73"/>
    </row>
    <row r="82">
      <c r="A82" s="77" t="str">
        <f>IFERROR(__xludf.DUMMYFUNCTION("""COMPUTED_VALUE"""),"*Фьючерсный контракт на обыкновенные акции ПАО «Магнитогорский 
металлургический комбинат»*")</f>
        <v>*Фьючерсный контракт на обыкновенные акции ПАО «Магнитогорский 
металлургический комбинат»*</v>
      </c>
      <c r="B82" s="73"/>
      <c r="C82" s="73"/>
      <c r="D82" s="73"/>
      <c r="E82" s="73"/>
      <c r="F82" s="73"/>
      <c r="G82" s="73"/>
      <c r="H82" s="73"/>
      <c r="I82" s="73"/>
    </row>
    <row r="83">
      <c r="A83" s="77" t="str">
        <f>IFERROR(__xludf.DUMMYFUNCTION("""COMPUTED_VALUE"""),"MAGN-12.25")</f>
        <v>MAGN-12.25</v>
      </c>
      <c r="B83" s="73" t="str">
        <f>IFERROR(__xludf.DUMMYFUNCTION("""COMPUTED_VALUE"""),"25 758")</f>
        <v>25 758</v>
      </c>
      <c r="C83" s="73" t="str">
        <f>IFERROR(__xludf.DUMMYFUNCTION("""COMPUTED_VALUE"""),"-0,68%")</f>
        <v>-0,68%</v>
      </c>
      <c r="D83" s="73" t="str">
        <f>IFERROR(__xludf.DUMMYFUNCTION("""COMPUTED_VALUE"""),"26 261")</f>
        <v>26 261</v>
      </c>
      <c r="E83" s="73" t="str">
        <f>IFERROR(__xludf.DUMMYFUNCTION("""COMPUTED_VALUE"""),"25 330")</f>
        <v>25 330</v>
      </c>
      <c r="F83" s="73" t="str">
        <f>IFERROR(__xludf.DUMMYFUNCTION("""COMPUTED_VALUE"""),"1 957")</f>
        <v>1 957</v>
      </c>
      <c r="G83" s="73">
        <f>IFERROR(__xludf.DUMMYFUNCTION("""COMPUTED_VALUE"""),743.0)</f>
        <v>743</v>
      </c>
      <c r="H83" s="73" t="str">
        <f>IFERROR(__xludf.DUMMYFUNCTION("""COMPUTED_VALUE"""),"12 590")</f>
        <v>12 590</v>
      </c>
      <c r="I83" s="73"/>
    </row>
    <row r="84">
      <c r="A84" s="77" t="str">
        <f>IFERROR(__xludf.DUMMYFUNCTION("""COMPUTED_VALUE"""),"MAGN-3.26")</f>
        <v>MAGN-3.26</v>
      </c>
      <c r="B84" s="73" t="str">
        <f>IFERROR(__xludf.DUMMYFUNCTION("""COMPUTED_VALUE"""),"27 090")</f>
        <v>27 090</v>
      </c>
      <c r="C84" s="73" t="str">
        <f>IFERROR(__xludf.DUMMYFUNCTION("""COMPUTED_VALUE"""),"-0,09%")</f>
        <v>-0,09%</v>
      </c>
      <c r="D84" s="73" t="str">
        <f>IFERROR(__xludf.DUMMYFUNCTION("""COMPUTED_VALUE"""),"27 090")</f>
        <v>27 090</v>
      </c>
      <c r="E84" s="73" t="str">
        <f>IFERROR(__xludf.DUMMYFUNCTION("""COMPUTED_VALUE"""),"26 650")</f>
        <v>26 650</v>
      </c>
      <c r="F84" s="73">
        <f>IFERROR(__xludf.DUMMYFUNCTION("""COMPUTED_VALUE"""),25.0)</f>
        <v>25</v>
      </c>
      <c r="G84" s="73">
        <f>IFERROR(__xludf.DUMMYFUNCTION("""COMPUTED_VALUE"""),18.0)</f>
        <v>18</v>
      </c>
      <c r="H84" s="73">
        <f>IFERROR(__xludf.DUMMYFUNCTION("""COMPUTED_VALUE"""),398.0)</f>
        <v>398</v>
      </c>
      <c r="I84" s="73"/>
    </row>
    <row r="85">
      <c r="A85" s="77" t="str">
        <f>IFERROR(__xludf.DUMMYFUNCTION("""COMPUTED_VALUE"""),"*Фьючерсный контракт на обыкновенные акции ПАО «Магнит»*")</f>
        <v>*Фьючерсный контракт на обыкновенные акции ПАО «Магнит»*</v>
      </c>
      <c r="B85" s="73"/>
      <c r="C85" s="73"/>
      <c r="D85" s="73"/>
      <c r="E85" s="73"/>
      <c r="F85" s="73"/>
      <c r="G85" s="73"/>
      <c r="H85" s="73"/>
      <c r="I85" s="73"/>
    </row>
    <row r="86">
      <c r="A86" s="77" t="str">
        <f>IFERROR(__xludf.DUMMYFUNCTION("""COMPUTED_VALUE"""),"MGNT-12.25")</f>
        <v>MGNT-12.25</v>
      </c>
      <c r="B86" s="73" t="str">
        <f>IFERROR(__xludf.DUMMYFUNCTION("""COMPUTED_VALUE"""),"2 981")</f>
        <v>2 981</v>
      </c>
      <c r="C86" s="73" t="str">
        <f>IFERROR(__xludf.DUMMYFUNCTION("""COMPUTED_VALUE"""),"-0,50%")</f>
        <v>-0,50%</v>
      </c>
      <c r="D86" s="73" t="str">
        <f>IFERROR(__xludf.DUMMYFUNCTION("""COMPUTED_VALUE"""),"3 015")</f>
        <v>3 015</v>
      </c>
      <c r="E86" s="73" t="str">
        <f>IFERROR(__xludf.DUMMYFUNCTION("""COMPUTED_VALUE"""),"2 957")</f>
        <v>2 957</v>
      </c>
      <c r="F86" s="73" t="str">
        <f>IFERROR(__xludf.DUMMYFUNCTION("""COMPUTED_VALUE"""),"22 951")</f>
        <v>22 951</v>
      </c>
      <c r="G86" s="73" t="str">
        <f>IFERROR(__xludf.DUMMYFUNCTION("""COMPUTED_VALUE"""),"2 064")</f>
        <v>2 064</v>
      </c>
      <c r="H86" s="73" t="str">
        <f>IFERROR(__xludf.DUMMYFUNCTION("""COMPUTED_VALUE"""),"256 066")</f>
        <v>256 066</v>
      </c>
      <c r="I86" s="73"/>
    </row>
    <row r="87">
      <c r="A87" s="77" t="str">
        <f>IFERROR(__xludf.DUMMYFUNCTION("""COMPUTED_VALUE"""),"MGNT-3.26")</f>
        <v>MGNT-3.26</v>
      </c>
      <c r="B87" s="73" t="str">
        <f>IFERROR(__xludf.DUMMYFUNCTION("""COMPUTED_VALUE"""),"3 119")</f>
        <v>3 119</v>
      </c>
      <c r="C87" s="73" t="str">
        <f>IFERROR(__xludf.DUMMYFUNCTION("""COMPUTED_VALUE"""),"-0,19%")</f>
        <v>-0,19%</v>
      </c>
      <c r="D87" s="73" t="str">
        <f>IFERROR(__xludf.DUMMYFUNCTION("""COMPUTED_VALUE"""),"3 123")</f>
        <v>3 123</v>
      </c>
      <c r="E87" s="73" t="str">
        <f>IFERROR(__xludf.DUMMYFUNCTION("""COMPUTED_VALUE"""),"3 080")</f>
        <v>3 080</v>
      </c>
      <c r="F87" s="73">
        <f>IFERROR(__xludf.DUMMYFUNCTION("""COMPUTED_VALUE"""),586.0)</f>
        <v>586</v>
      </c>
      <c r="G87" s="73">
        <f>IFERROR(__xludf.DUMMYFUNCTION("""COMPUTED_VALUE"""),95.0)</f>
        <v>95</v>
      </c>
      <c r="H87" s="73" t="str">
        <f>IFERROR(__xludf.DUMMYFUNCTION("""COMPUTED_VALUE"""),"4 640")</f>
        <v>4 640</v>
      </c>
      <c r="I87" s="73"/>
    </row>
    <row r="88">
      <c r="A88" s="77" t="str">
        <f>IFERROR(__xludf.DUMMYFUNCTION("""COMPUTED_VALUE"""),"*Фьючерсный контракт на обыкновенные акции ПАО «МТС»*")</f>
        <v>*Фьючерсный контракт на обыкновенные акции ПАО «МТС»*</v>
      </c>
      <c r="B88" s="73"/>
      <c r="C88" s="73"/>
      <c r="D88" s="73"/>
      <c r="E88" s="73"/>
      <c r="F88" s="73"/>
      <c r="G88" s="73"/>
      <c r="H88" s="73"/>
      <c r="I88" s="73"/>
    </row>
    <row r="89">
      <c r="A89" s="77" t="str">
        <f>IFERROR(__xludf.DUMMYFUNCTION("""COMPUTED_VALUE"""),"MTSI-12.25")</f>
        <v>MTSI-12.25</v>
      </c>
      <c r="B89" s="73" t="str">
        <f>IFERROR(__xludf.DUMMYFUNCTION("""COMPUTED_VALUE"""),"20 670")</f>
        <v>20 670</v>
      </c>
      <c r="C89" s="73" t="str">
        <f>IFERROR(__xludf.DUMMYFUNCTION("""COMPUTED_VALUE"""),"+0,39%")</f>
        <v>+0,39%</v>
      </c>
      <c r="D89" s="73" t="str">
        <f>IFERROR(__xludf.DUMMYFUNCTION("""COMPUTED_VALUE"""),"20 875")</f>
        <v>20 875</v>
      </c>
      <c r="E89" s="73" t="str">
        <f>IFERROR(__xludf.DUMMYFUNCTION("""COMPUTED_VALUE"""),"20 540")</f>
        <v>20 540</v>
      </c>
      <c r="F89" s="73">
        <f>IFERROR(__xludf.DUMMYFUNCTION("""COMPUTED_VALUE"""),776.0)</f>
        <v>776</v>
      </c>
      <c r="G89" s="73">
        <f>IFERROR(__xludf.DUMMYFUNCTION("""COMPUTED_VALUE"""),504.0)</f>
        <v>504</v>
      </c>
      <c r="H89" s="73" t="str">
        <f>IFERROR(__xludf.DUMMYFUNCTION("""COMPUTED_VALUE"""),"15 662")</f>
        <v>15 662</v>
      </c>
      <c r="I89" s="73"/>
    </row>
    <row r="90">
      <c r="A90" s="77" t="str">
        <f>IFERROR(__xludf.DUMMYFUNCTION("""COMPUTED_VALUE"""),"MTSI-3.26")</f>
        <v>MTSI-3.26</v>
      </c>
      <c r="B90" s="73" t="str">
        <f>IFERROR(__xludf.DUMMYFUNCTION("""COMPUTED_VALUE"""),"21 364")</f>
        <v>21 364</v>
      </c>
      <c r="C90" s="73" t="str">
        <f>IFERROR(__xludf.DUMMYFUNCTION("""COMPUTED_VALUE"""),"+0,04%")</f>
        <v>+0,04%</v>
      </c>
      <c r="D90" s="73" t="str">
        <f>IFERROR(__xludf.DUMMYFUNCTION("""COMPUTED_VALUE"""),"21 555")</f>
        <v>21 555</v>
      </c>
      <c r="E90" s="73" t="str">
        <f>IFERROR(__xludf.DUMMYFUNCTION("""COMPUTED_VALUE"""),"21 364")</f>
        <v>21 364</v>
      </c>
      <c r="F90" s="73">
        <f>IFERROR(__xludf.DUMMYFUNCTION("""COMPUTED_VALUE"""),23.0)</f>
        <v>23</v>
      </c>
      <c r="G90" s="73">
        <f>IFERROR(__xludf.DUMMYFUNCTION("""COMPUTED_VALUE"""),20.0)</f>
        <v>20</v>
      </c>
      <c r="H90" s="73">
        <f>IFERROR(__xludf.DUMMYFUNCTION("""COMPUTED_VALUE"""),252.0)</f>
        <v>252</v>
      </c>
      <c r="I90" s="73"/>
    </row>
    <row r="91">
      <c r="A91" s="77" t="str">
        <f>IFERROR(__xludf.DUMMYFUNCTION("""COMPUTED_VALUE"""),"*Фьючерсный контракт на обыкновенные акции ПАО ""М.видео""*")</f>
        <v>*Фьючерсный контракт на обыкновенные акции ПАО "М.видео"*</v>
      </c>
      <c r="B91" s="73"/>
      <c r="C91" s="73"/>
      <c r="D91" s="73"/>
      <c r="E91" s="73"/>
      <c r="F91" s="73"/>
      <c r="G91" s="73"/>
      <c r="H91" s="73"/>
      <c r="I91" s="73"/>
    </row>
    <row r="92">
      <c r="A92" s="77" t="str">
        <f>IFERROR(__xludf.DUMMYFUNCTION("""COMPUTED_VALUE"""),"MVID-12.25")</f>
        <v>MVID-12.25</v>
      </c>
      <c r="B92" s="73">
        <f>IFERROR(__xludf.DUMMYFUNCTION("""COMPUTED_VALUE"""),556.0)</f>
        <v>556</v>
      </c>
      <c r="C92" s="73" t="str">
        <f>IFERROR(__xludf.DUMMYFUNCTION("""COMPUTED_VALUE"""),"-1,24%")</f>
        <v>-1,24%</v>
      </c>
      <c r="D92" s="73">
        <f>IFERROR(__xludf.DUMMYFUNCTION("""COMPUTED_VALUE"""),563.0)</f>
        <v>563</v>
      </c>
      <c r="E92" s="73">
        <f>IFERROR(__xludf.DUMMYFUNCTION("""COMPUTED_VALUE"""),542.0)</f>
        <v>542</v>
      </c>
      <c r="F92" s="73" t="str">
        <f>IFERROR(__xludf.DUMMYFUNCTION("""COMPUTED_VALUE"""),"49 115")</f>
        <v>49 115</v>
      </c>
      <c r="G92" s="73">
        <f>IFERROR(__xludf.DUMMYFUNCTION("""COMPUTED_VALUE"""),895.0)</f>
        <v>895</v>
      </c>
      <c r="H92" s="73" t="str">
        <f>IFERROR(__xludf.DUMMYFUNCTION("""COMPUTED_VALUE"""),"1 025 670")</f>
        <v>1 025 670</v>
      </c>
      <c r="I92" s="73"/>
    </row>
    <row r="93">
      <c r="A93" s="77" t="str">
        <f>IFERROR(__xludf.DUMMYFUNCTION("""COMPUTED_VALUE"""),"*Фьючерсный контракт на обыкновенные акции ПАО «НОВАТЭК»*")</f>
        <v>*Фьючерсный контракт на обыкновенные акции ПАО «НОВАТЭК»*</v>
      </c>
      <c r="B93" s="73"/>
      <c r="C93" s="73"/>
      <c r="D93" s="73"/>
      <c r="E93" s="73"/>
      <c r="F93" s="73"/>
      <c r="G93" s="73"/>
      <c r="H93" s="73"/>
      <c r="I93" s="73"/>
    </row>
    <row r="94">
      <c r="A94" s="77" t="str">
        <f>IFERROR(__xludf.DUMMYFUNCTION("""COMPUTED_VALUE"""),"NOTK-12.25")</f>
        <v>NOTK-12.25</v>
      </c>
      <c r="B94" s="73" t="str">
        <f>IFERROR(__xludf.DUMMYFUNCTION("""COMPUTED_VALUE"""),"110 644")</f>
        <v>110 644</v>
      </c>
      <c r="C94" s="73" t="str">
        <f>IFERROR(__xludf.DUMMYFUNCTION("""COMPUTED_VALUE"""),"+1,82%")</f>
        <v>+1,82%</v>
      </c>
      <c r="D94" s="73" t="str">
        <f>IFERROR(__xludf.DUMMYFUNCTION("""COMPUTED_VALUE"""),"113 324")</f>
        <v>113 324</v>
      </c>
      <c r="E94" s="73" t="str">
        <f>IFERROR(__xludf.DUMMYFUNCTION("""COMPUTED_VALUE"""),"107 211")</f>
        <v>107 211</v>
      </c>
      <c r="F94" s="73" t="str">
        <f>IFERROR(__xludf.DUMMYFUNCTION("""COMPUTED_VALUE"""),"4 877")</f>
        <v>4 877</v>
      </c>
      <c r="G94" s="73" t="str">
        <f>IFERROR(__xludf.DUMMYFUNCTION("""COMPUTED_VALUE"""),"2 563")</f>
        <v>2 563</v>
      </c>
      <c r="H94" s="73" t="str">
        <f>IFERROR(__xludf.DUMMYFUNCTION("""COMPUTED_VALUE"""),"92 958")</f>
        <v>92 958</v>
      </c>
      <c r="I94" s="73"/>
    </row>
    <row r="95">
      <c r="A95" s="77" t="str">
        <f>IFERROR(__xludf.DUMMYFUNCTION("""COMPUTED_VALUE"""),"*Фьючерсный контракт на обыкновенные акции ПАО «НЛМК»*")</f>
        <v>*Фьючерсный контракт на обыкновенные акции ПАО «НЛМК»*</v>
      </c>
      <c r="B95" s="73"/>
      <c r="C95" s="73"/>
      <c r="D95" s="73"/>
      <c r="E95" s="73"/>
      <c r="F95" s="73"/>
      <c r="G95" s="73"/>
      <c r="H95" s="73"/>
      <c r="I95" s="73"/>
    </row>
    <row r="96">
      <c r="A96" s="77" t="str">
        <f>IFERROR(__xludf.DUMMYFUNCTION("""COMPUTED_VALUE"""),"NLMK-12.25")</f>
        <v>NLMK-12.25</v>
      </c>
      <c r="B96" s="73" t="str">
        <f>IFERROR(__xludf.DUMMYFUNCTION("""COMPUTED_VALUE"""),"10 034")</f>
        <v>10 034</v>
      </c>
      <c r="C96" s="73" t="str">
        <f>IFERROR(__xludf.DUMMYFUNCTION("""COMPUTED_VALUE"""),"-0,52%")</f>
        <v>-0,52%</v>
      </c>
      <c r="D96" s="73" t="str">
        <f>IFERROR(__xludf.DUMMYFUNCTION("""COMPUTED_VALUE"""),"10 156")</f>
        <v>10 156</v>
      </c>
      <c r="E96" s="73" t="str">
        <f>IFERROR(__xludf.DUMMYFUNCTION("""COMPUTED_VALUE"""),"9 946")</f>
        <v>9 946</v>
      </c>
      <c r="F96" s="73" t="str">
        <f>IFERROR(__xludf.DUMMYFUNCTION("""COMPUTED_VALUE"""),"7 149")</f>
        <v>7 149</v>
      </c>
      <c r="G96" s="73" t="str">
        <f>IFERROR(__xludf.DUMMYFUNCTION("""COMPUTED_VALUE"""),"1 165")</f>
        <v>1 165</v>
      </c>
      <c r="H96" s="73" t="str">
        <f>IFERROR(__xludf.DUMMYFUNCTION("""COMPUTED_VALUE"""),"50 550")</f>
        <v>50 550</v>
      </c>
      <c r="I96" s="73"/>
    </row>
    <row r="97">
      <c r="A97" s="77" t="str">
        <f>IFERROR(__xludf.DUMMYFUNCTION("""COMPUTED_VALUE"""),"NLMK-3.26")</f>
        <v>NLMK-3.26</v>
      </c>
      <c r="B97" s="73" t="str">
        <f>IFERROR(__xludf.DUMMYFUNCTION("""COMPUTED_VALUE"""),"10 426")</f>
        <v>10 426</v>
      </c>
      <c r="C97" s="73" t="str">
        <f>IFERROR(__xludf.DUMMYFUNCTION("""COMPUTED_VALUE"""),"-0,58%")</f>
        <v>-0,58%</v>
      </c>
      <c r="D97" s="73" t="str">
        <f>IFERROR(__xludf.DUMMYFUNCTION("""COMPUTED_VALUE"""),"10 475")</f>
        <v>10 475</v>
      </c>
      <c r="E97" s="73" t="str">
        <f>IFERROR(__xludf.DUMMYFUNCTION("""COMPUTED_VALUE"""),"10 364")</f>
        <v>10 364</v>
      </c>
      <c r="F97" s="73">
        <f>IFERROR(__xludf.DUMMYFUNCTION("""COMPUTED_VALUE"""),15.0)</f>
        <v>15</v>
      </c>
      <c r="G97" s="73">
        <f>IFERROR(__xludf.DUMMYFUNCTION("""COMPUTED_VALUE"""),13.0)</f>
        <v>13</v>
      </c>
      <c r="H97" s="73">
        <f>IFERROR(__xludf.DUMMYFUNCTION("""COMPUTED_VALUE"""),452.0)</f>
        <v>452</v>
      </c>
      <c r="I97" s="73"/>
    </row>
    <row r="98">
      <c r="A98" s="77" t="str">
        <f>IFERROR(__xludf.DUMMYFUNCTION("""COMPUTED_VALUE"""),"*Фьючерсный контракт на обыкновенные акции ПАО ""ФосАгро""*")</f>
        <v>*Фьючерсный контракт на обыкновенные акции ПАО "ФосАгро"*</v>
      </c>
      <c r="B98" s="73"/>
      <c r="C98" s="73"/>
      <c r="D98" s="73"/>
      <c r="E98" s="73"/>
      <c r="F98" s="73"/>
      <c r="G98" s="73"/>
      <c r="H98" s="73"/>
      <c r="I98" s="73"/>
    </row>
    <row r="99">
      <c r="A99" s="77" t="str">
        <f>IFERROR(__xludf.DUMMYFUNCTION("""COMPUTED_VALUE"""),"PHOR-12.25")</f>
        <v>PHOR-12.25</v>
      </c>
      <c r="B99" s="73" t="str">
        <f>IFERROR(__xludf.DUMMYFUNCTION("""COMPUTED_VALUE"""),"6 968")</f>
        <v>6 968</v>
      </c>
      <c r="C99" s="73" t="str">
        <f>IFERROR(__xludf.DUMMYFUNCTION("""COMPUTED_VALUE"""),"+1,32%")</f>
        <v>+1,32%</v>
      </c>
      <c r="D99" s="73" t="str">
        <f>IFERROR(__xludf.DUMMYFUNCTION("""COMPUTED_VALUE"""),"7 006")</f>
        <v>7 006</v>
      </c>
      <c r="E99" s="73" t="str">
        <f>IFERROR(__xludf.DUMMYFUNCTION("""COMPUTED_VALUE"""),"6 877")</f>
        <v>6 877</v>
      </c>
      <c r="F99" s="73" t="str">
        <f>IFERROR(__xludf.DUMMYFUNCTION("""COMPUTED_VALUE"""),"2 636")</f>
        <v>2 636</v>
      </c>
      <c r="G99" s="73">
        <f>IFERROR(__xludf.DUMMYFUNCTION("""COMPUTED_VALUE"""),511.0)</f>
        <v>511</v>
      </c>
      <c r="H99" s="73" t="str">
        <f>IFERROR(__xludf.DUMMYFUNCTION("""COMPUTED_VALUE"""),"26 146")</f>
        <v>26 146</v>
      </c>
      <c r="I99" s="73"/>
    </row>
    <row r="100">
      <c r="A100" s="77" t="str">
        <f>IFERROR(__xludf.DUMMYFUNCTION("""COMPUTED_VALUE"""),"PHOR-3.26")</f>
        <v>PHOR-3.26</v>
      </c>
      <c r="B100" s="73" t="str">
        <f>IFERROR(__xludf.DUMMYFUNCTION("""COMPUTED_VALUE"""),"7 191")</f>
        <v>7 191</v>
      </c>
      <c r="C100" s="73" t="str">
        <f>IFERROR(__xludf.DUMMYFUNCTION("""COMPUTED_VALUE"""),"+1,14%")</f>
        <v>+1,14%</v>
      </c>
      <c r="D100" s="73" t="str">
        <f>IFERROR(__xludf.DUMMYFUNCTION("""COMPUTED_VALUE"""),"7 191")</f>
        <v>7 191</v>
      </c>
      <c r="E100" s="73" t="str">
        <f>IFERROR(__xludf.DUMMYFUNCTION("""COMPUTED_VALUE"""),"7 095")</f>
        <v>7 095</v>
      </c>
      <c r="F100" s="73">
        <f>IFERROR(__xludf.DUMMYFUNCTION("""COMPUTED_VALUE"""),79.0)</f>
        <v>79</v>
      </c>
      <c r="G100" s="73">
        <f>IFERROR(__xludf.DUMMYFUNCTION("""COMPUTED_VALUE"""),36.0)</f>
        <v>36</v>
      </c>
      <c r="H100" s="73">
        <f>IFERROR(__xludf.DUMMYFUNCTION("""COMPUTED_VALUE"""),544.0)</f>
        <v>544</v>
      </c>
      <c r="I100" s="73"/>
    </row>
    <row r="101">
      <c r="A101" s="77" t="str">
        <f>IFERROR(__xludf.DUMMYFUNCTION("""COMPUTED_VALUE"""),"*Фьючерсный контракт на обыкновенные акции ПАО «ПИК СЗ»*")</f>
        <v>*Фьючерсный контракт на обыкновенные акции ПАО «ПИК СЗ»*</v>
      </c>
      <c r="B101" s="73"/>
      <c r="C101" s="73"/>
      <c r="D101" s="73"/>
      <c r="E101" s="73"/>
      <c r="F101" s="73"/>
      <c r="G101" s="73"/>
      <c r="H101" s="73"/>
      <c r="I101" s="73"/>
    </row>
    <row r="102">
      <c r="A102" s="77" t="str">
        <f>IFERROR(__xludf.DUMMYFUNCTION("""COMPUTED_VALUE"""),"PIKK-12.25")</f>
        <v>PIKK-12.25</v>
      </c>
      <c r="B102" s="73" t="str">
        <f>IFERROR(__xludf.DUMMYFUNCTION("""COMPUTED_VALUE"""),"3 788")</f>
        <v>3 788</v>
      </c>
      <c r="C102" s="73" t="str">
        <f>IFERROR(__xludf.DUMMYFUNCTION("""COMPUTED_VALUE"""),"-5,11%")</f>
        <v>-5,11%</v>
      </c>
      <c r="D102" s="73" t="str">
        <f>IFERROR(__xludf.DUMMYFUNCTION("""COMPUTED_VALUE"""),"4 070")</f>
        <v>4 070</v>
      </c>
      <c r="E102" s="73" t="str">
        <f>IFERROR(__xludf.DUMMYFUNCTION("""COMPUTED_VALUE"""),"3 692")</f>
        <v>3 692</v>
      </c>
      <c r="F102" s="73" t="str">
        <f>IFERROR(__xludf.DUMMYFUNCTION("""COMPUTED_VALUE"""),"182 316")</f>
        <v>182 316</v>
      </c>
      <c r="G102" s="73" t="str">
        <f>IFERROR(__xludf.DUMMYFUNCTION("""COMPUTED_VALUE"""),"18 001")</f>
        <v>18 001</v>
      </c>
      <c r="H102" s="73" t="str">
        <f>IFERROR(__xludf.DUMMYFUNCTION("""COMPUTED_VALUE"""),"95 716")</f>
        <v>95 716</v>
      </c>
      <c r="I102" s="73"/>
    </row>
    <row r="103">
      <c r="A103" s="77" t="str">
        <f>IFERROR(__xludf.DUMMYFUNCTION("""COMPUTED_VALUE"""),"*Фьючерсный контракт на обыкновенные акции ПАО ""Полюс"" (мини)*")</f>
        <v>*Фьючерсный контракт на обыкновенные акции ПАО "Полюс" (мини)*</v>
      </c>
      <c r="B103" s="73"/>
      <c r="C103" s="73"/>
      <c r="D103" s="73"/>
      <c r="E103" s="73"/>
      <c r="F103" s="73"/>
      <c r="G103" s="73"/>
      <c r="H103" s="73"/>
      <c r="I103" s="73"/>
    </row>
    <row r="104">
      <c r="A104" s="77" t="str">
        <f>IFERROR(__xludf.DUMMYFUNCTION("""COMPUTED_VALUE"""),"PLZLM-12.25")</f>
        <v>PLZLM-12.25</v>
      </c>
      <c r="B104" s="73" t="str">
        <f>IFERROR(__xludf.DUMMYFUNCTION("""COMPUTED_VALUE"""),"22 780")</f>
        <v>22 780</v>
      </c>
      <c r="C104" s="73" t="str">
        <f>IFERROR(__xludf.DUMMYFUNCTION("""COMPUTED_VALUE"""),"+4,19%")</f>
        <v>+4,19%</v>
      </c>
      <c r="D104" s="73" t="str">
        <f>IFERROR(__xludf.DUMMYFUNCTION("""COMPUTED_VALUE"""),"22 900")</f>
        <v>22 900</v>
      </c>
      <c r="E104" s="73" t="str">
        <f>IFERROR(__xludf.DUMMYFUNCTION("""COMPUTED_VALUE"""),"21 599")</f>
        <v>21 599</v>
      </c>
      <c r="F104" s="73" t="str">
        <f>IFERROR(__xludf.DUMMYFUNCTION("""COMPUTED_VALUE"""),"13 070")</f>
        <v>13 070</v>
      </c>
      <c r="G104" s="73" t="str">
        <f>IFERROR(__xludf.DUMMYFUNCTION("""COMPUTED_VALUE"""),"3 289")</f>
        <v>3 289</v>
      </c>
      <c r="H104" s="73" t="str">
        <f>IFERROR(__xludf.DUMMYFUNCTION("""COMPUTED_VALUE"""),"54 454")</f>
        <v>54 454</v>
      </c>
      <c r="I104" s="73"/>
    </row>
    <row r="105">
      <c r="A105" s="77" t="str">
        <f>IFERROR(__xludf.DUMMYFUNCTION("""COMPUTED_VALUE"""),"PLZLM-3.26")</f>
        <v>PLZLM-3.26</v>
      </c>
      <c r="B105" s="73" t="str">
        <f>IFERROR(__xludf.DUMMYFUNCTION("""COMPUTED_VALUE"""),"23 550")</f>
        <v>23 550</v>
      </c>
      <c r="C105" s="73" t="str">
        <f>IFERROR(__xludf.DUMMYFUNCTION("""COMPUTED_VALUE"""),"+3,67%")</f>
        <v>+3,67%</v>
      </c>
      <c r="D105" s="73" t="str">
        <f>IFERROR(__xludf.DUMMYFUNCTION("""COMPUTED_VALUE"""),"23 550")</f>
        <v>23 550</v>
      </c>
      <c r="E105" s="73" t="str">
        <f>IFERROR(__xludf.DUMMYFUNCTION("""COMPUTED_VALUE"""),"22 355")</f>
        <v>22 355</v>
      </c>
      <c r="F105" s="73">
        <f>IFERROR(__xludf.DUMMYFUNCTION("""COMPUTED_VALUE"""),150.0)</f>
        <v>150</v>
      </c>
      <c r="G105" s="73">
        <f>IFERROR(__xludf.DUMMYFUNCTION("""COMPUTED_VALUE"""),82.0)</f>
        <v>82</v>
      </c>
      <c r="H105" s="73" t="str">
        <f>IFERROR(__xludf.DUMMYFUNCTION("""COMPUTED_VALUE"""),"1 230")</f>
        <v>1 230</v>
      </c>
      <c r="I105" s="73"/>
    </row>
    <row r="106">
      <c r="A106" s="77" t="str">
        <f>IFERROR(__xludf.DUMMYFUNCTION("""COMPUTED_VALUE"""),"*Фьючерсный контракт на обыкновенные акции ПАО ""Группа Позитив""*")</f>
        <v>*Фьючерсный контракт на обыкновенные акции ПАО "Группа Позитив"*</v>
      </c>
      <c r="B106" s="73"/>
      <c r="C106" s="73"/>
      <c r="D106" s="73"/>
      <c r="E106" s="73"/>
      <c r="F106" s="73"/>
      <c r="G106" s="73"/>
      <c r="H106" s="73"/>
      <c r="I106" s="73"/>
    </row>
    <row r="107">
      <c r="A107" s="77" t="str">
        <f>IFERROR(__xludf.DUMMYFUNCTION("""COMPUTED_VALUE"""),"POSI-12.25")</f>
        <v>POSI-12.25</v>
      </c>
      <c r="B107" s="73" t="str">
        <f>IFERROR(__xludf.DUMMYFUNCTION("""COMPUTED_VALUE"""),"1 022")</f>
        <v>1 022</v>
      </c>
      <c r="C107" s="73" t="str">
        <f>IFERROR(__xludf.DUMMYFUNCTION("""COMPUTED_VALUE"""),"+0,79%")</f>
        <v>+0,79%</v>
      </c>
      <c r="D107" s="73" t="str">
        <f>IFERROR(__xludf.DUMMYFUNCTION("""COMPUTED_VALUE"""),"1 039")</f>
        <v>1 039</v>
      </c>
      <c r="E107" s="73" t="str">
        <f>IFERROR(__xludf.DUMMYFUNCTION("""COMPUTED_VALUE"""),"1 003")</f>
        <v>1 003</v>
      </c>
      <c r="F107" s="73" t="str">
        <f>IFERROR(__xludf.DUMMYFUNCTION("""COMPUTED_VALUE"""),"10 845")</f>
        <v>10 845</v>
      </c>
      <c r="G107" s="73">
        <f>IFERROR(__xludf.DUMMYFUNCTION("""COMPUTED_VALUE"""),407.0)</f>
        <v>407</v>
      </c>
      <c r="H107" s="73" t="str">
        <f>IFERROR(__xludf.DUMMYFUNCTION("""COMPUTED_VALUE"""),"76 664")</f>
        <v>76 664</v>
      </c>
      <c r="I107" s="73"/>
    </row>
    <row r="108">
      <c r="A108" s="77" t="str">
        <f>IFERROR(__xludf.DUMMYFUNCTION("""COMPUTED_VALUE"""),"POSI-3.26")</f>
        <v>POSI-3.26</v>
      </c>
      <c r="B108" s="73" t="str">
        <f>IFERROR(__xludf.DUMMYFUNCTION("""COMPUTED_VALUE"""),"1 066")</f>
        <v>1 066</v>
      </c>
      <c r="C108" s="73" t="str">
        <f>IFERROR(__xludf.DUMMYFUNCTION("""COMPUTED_VALUE"""),"+0,47%")</f>
        <v>+0,47%</v>
      </c>
      <c r="D108" s="73" t="str">
        <f>IFERROR(__xludf.DUMMYFUNCTION("""COMPUTED_VALUE"""),"1 080")</f>
        <v>1 080</v>
      </c>
      <c r="E108" s="73" t="str">
        <f>IFERROR(__xludf.DUMMYFUNCTION("""COMPUTED_VALUE"""),"1 047")</f>
        <v>1 047</v>
      </c>
      <c r="F108" s="73">
        <f>IFERROR(__xludf.DUMMYFUNCTION("""COMPUTED_VALUE"""),25.0)</f>
        <v>25</v>
      </c>
      <c r="G108" s="73">
        <f>IFERROR(__xludf.DUMMYFUNCTION("""COMPUTED_VALUE"""),13.0)</f>
        <v>13</v>
      </c>
      <c r="H108" s="73" t="str">
        <f>IFERROR(__xludf.DUMMYFUNCTION("""COMPUTED_VALUE"""),"3 636")</f>
        <v>3 636</v>
      </c>
      <c r="I108" s="73"/>
    </row>
    <row r="109">
      <c r="A109" s="77" t="str">
        <f>IFERROR(__xludf.DUMMYFUNCTION("""COMPUTED_VALUE"""),"*Фьючерсный контракт на обыкновенные акции ПАО ""Распадская""*")</f>
        <v>*Фьючерсный контракт на обыкновенные акции ПАО "Распадская"*</v>
      </c>
      <c r="B109" s="73"/>
      <c r="C109" s="73"/>
      <c r="D109" s="73"/>
      <c r="E109" s="73"/>
      <c r="F109" s="73"/>
      <c r="G109" s="73"/>
      <c r="H109" s="73"/>
      <c r="I109" s="73"/>
    </row>
    <row r="110">
      <c r="A110" s="77" t="str">
        <f>IFERROR(__xludf.DUMMYFUNCTION("""COMPUTED_VALUE"""),"RASP-12.25")</f>
        <v>RASP-12.25</v>
      </c>
      <c r="B110" s="73" t="str">
        <f>IFERROR(__xludf.DUMMYFUNCTION("""COMPUTED_VALUE"""),"1 672")</f>
        <v>1 672</v>
      </c>
      <c r="C110" s="73" t="str">
        <f>IFERROR(__xludf.DUMMYFUNCTION("""COMPUTED_VALUE"""),"-0,54%")</f>
        <v>-0,54%</v>
      </c>
      <c r="D110" s="73" t="str">
        <f>IFERROR(__xludf.DUMMYFUNCTION("""COMPUTED_VALUE"""),"1 701")</f>
        <v>1 701</v>
      </c>
      <c r="E110" s="73" t="str">
        <f>IFERROR(__xludf.DUMMYFUNCTION("""COMPUTED_VALUE"""),"1 655")</f>
        <v>1 655</v>
      </c>
      <c r="F110" s="73" t="str">
        <f>IFERROR(__xludf.DUMMYFUNCTION("""COMPUTED_VALUE"""),"2 673")</f>
        <v>2 673</v>
      </c>
      <c r="G110" s="73">
        <f>IFERROR(__xludf.DUMMYFUNCTION("""COMPUTED_VALUE"""),216.0)</f>
        <v>216</v>
      </c>
      <c r="H110" s="73" t="str">
        <f>IFERROR(__xludf.DUMMYFUNCTION("""COMPUTED_VALUE"""),"14 488")</f>
        <v>14 488</v>
      </c>
      <c r="I110" s="73"/>
    </row>
    <row r="111">
      <c r="A111" s="77" t="str">
        <f>IFERROR(__xludf.DUMMYFUNCTION("""COMPUTED_VALUE"""),"RASP-3.26")</f>
        <v>RASP-3.26</v>
      </c>
      <c r="B111" s="73" t="str">
        <f>IFERROR(__xludf.DUMMYFUNCTION("""COMPUTED_VALUE"""),"1 718")</f>
        <v>1 718</v>
      </c>
      <c r="C111" s="73" t="str">
        <f>IFERROR(__xludf.DUMMYFUNCTION("""COMPUTED_VALUE"""),"-0,41%")</f>
        <v>-0,41%</v>
      </c>
      <c r="D111" s="73" t="str">
        <f>IFERROR(__xludf.DUMMYFUNCTION("""COMPUTED_VALUE"""),"1 720")</f>
        <v>1 720</v>
      </c>
      <c r="E111" s="73" t="str">
        <f>IFERROR(__xludf.DUMMYFUNCTION("""COMPUTED_VALUE"""),"1 718")</f>
        <v>1 718</v>
      </c>
      <c r="F111" s="73">
        <f>IFERROR(__xludf.DUMMYFUNCTION("""COMPUTED_VALUE"""),8.0)</f>
        <v>8</v>
      </c>
      <c r="G111" s="73">
        <f>IFERROR(__xludf.DUMMYFUNCTION("""COMPUTED_VALUE"""),2.0)</f>
        <v>2</v>
      </c>
      <c r="H111" s="73">
        <f>IFERROR(__xludf.DUMMYFUNCTION("""COMPUTED_VALUE"""),468.0)</f>
        <v>468</v>
      </c>
      <c r="I111" s="73"/>
    </row>
    <row r="112">
      <c r="A112" s="77" t="str">
        <f>IFERROR(__xludf.DUMMYFUNCTION("""COMPUTED_VALUE"""),"*Фьючерсный контракт на обыкновенные акции ПАО «Группа Ренессанс 
Страхование»*")</f>
        <v>*Фьючерсный контракт на обыкновенные акции ПАО «Группа Ренессанс 
Страхование»*</v>
      </c>
      <c r="B112" s="73"/>
      <c r="C112" s="73"/>
      <c r="D112" s="73"/>
      <c r="E112" s="73"/>
      <c r="F112" s="73"/>
      <c r="G112" s="73"/>
      <c r="H112" s="73"/>
      <c r="I112" s="73"/>
    </row>
    <row r="113">
      <c r="A113" s="77" t="str">
        <f>IFERROR(__xludf.DUMMYFUNCTION("""COMPUTED_VALUE"""),"RENI-12.25")</f>
        <v>RENI-12.25</v>
      </c>
      <c r="B113" s="73" t="str">
        <f>IFERROR(__xludf.DUMMYFUNCTION("""COMPUTED_VALUE"""),"9 725")</f>
        <v>9 725</v>
      </c>
      <c r="C113" s="73" t="str">
        <f>IFERROR(__xludf.DUMMYFUNCTION("""COMPUTED_VALUE"""),"+0,73%")</f>
        <v>+0,73%</v>
      </c>
      <c r="D113" s="73" t="str">
        <f>IFERROR(__xludf.DUMMYFUNCTION("""COMPUTED_VALUE"""),"9 758")</f>
        <v>9 758</v>
      </c>
      <c r="E113" s="73" t="str">
        <f>IFERROR(__xludf.DUMMYFUNCTION("""COMPUTED_VALUE"""),"9 526")</f>
        <v>9 526</v>
      </c>
      <c r="F113" s="73">
        <f>IFERROR(__xludf.DUMMYFUNCTION("""COMPUTED_VALUE"""),455.0)</f>
        <v>455</v>
      </c>
      <c r="G113" s="73">
        <f>IFERROR(__xludf.DUMMYFUNCTION("""COMPUTED_VALUE"""),104.0)</f>
        <v>104</v>
      </c>
      <c r="H113" s="73" t="str">
        <f>IFERROR(__xludf.DUMMYFUNCTION("""COMPUTED_VALUE"""),"8 716")</f>
        <v>8 716</v>
      </c>
      <c r="I113" s="73"/>
    </row>
    <row r="114">
      <c r="A114" s="77" t="str">
        <f>IFERROR(__xludf.DUMMYFUNCTION("""COMPUTED_VALUE"""),"RENI-3.26")</f>
        <v>RENI-3.26</v>
      </c>
      <c r="B114" s="73" t="str">
        <f>IFERROR(__xludf.DUMMYFUNCTION("""COMPUTED_VALUE"""),"9 897")</f>
        <v>9 897</v>
      </c>
      <c r="C114" s="73" t="str">
        <f>IFERROR(__xludf.DUMMYFUNCTION("""COMPUTED_VALUE"""),"+0,46%")</f>
        <v>+0,46%</v>
      </c>
      <c r="D114" s="73" t="str">
        <f>IFERROR(__xludf.DUMMYFUNCTION("""COMPUTED_VALUE"""),"9 897")</f>
        <v>9 897</v>
      </c>
      <c r="E114" s="73" t="str">
        <f>IFERROR(__xludf.DUMMYFUNCTION("""COMPUTED_VALUE"""),"9 742")</f>
        <v>9 742</v>
      </c>
      <c r="F114" s="73">
        <f>IFERROR(__xludf.DUMMYFUNCTION("""COMPUTED_VALUE"""),14.0)</f>
        <v>14</v>
      </c>
      <c r="G114" s="73">
        <f>IFERROR(__xludf.DUMMYFUNCTION("""COMPUTED_VALUE"""),14.0)</f>
        <v>14</v>
      </c>
      <c r="H114" s="73">
        <f>IFERROR(__xludf.DUMMYFUNCTION("""COMPUTED_VALUE"""),564.0)</f>
        <v>564</v>
      </c>
      <c r="I114" s="73"/>
    </row>
    <row r="115">
      <c r="A115" s="77" t="str">
        <f>IFERROR(__xludf.DUMMYFUNCTION("""COMPUTED_VALUE"""),"*Фьючерсный контракт на обыкновенные акции МКПАО «ОК «РУСАЛ»*")</f>
        <v>*Фьючерсный контракт на обыкновенные акции МКПАО «ОК «РУСАЛ»*</v>
      </c>
      <c r="B115" s="73"/>
      <c r="C115" s="73"/>
      <c r="D115" s="73"/>
      <c r="E115" s="73"/>
      <c r="F115" s="73"/>
      <c r="G115" s="73"/>
      <c r="H115" s="73"/>
      <c r="I115" s="73"/>
    </row>
    <row r="116">
      <c r="A116" s="77" t="str">
        <f>IFERROR(__xludf.DUMMYFUNCTION("""COMPUTED_VALUE"""),"RUAL-12.25")</f>
        <v>RUAL-12.25</v>
      </c>
      <c r="B116" s="73" t="str">
        <f>IFERROR(__xludf.DUMMYFUNCTION("""COMPUTED_VALUE"""),"3 020")</f>
        <v>3 020</v>
      </c>
      <c r="C116" s="73" t="str">
        <f>IFERROR(__xludf.DUMMYFUNCTION("""COMPUTED_VALUE"""),"-1,15%")</f>
        <v>-1,15%</v>
      </c>
      <c r="D116" s="73" t="str">
        <f>IFERROR(__xludf.DUMMYFUNCTION("""COMPUTED_VALUE"""),"3 057")</f>
        <v>3 057</v>
      </c>
      <c r="E116" s="73" t="str">
        <f>IFERROR(__xludf.DUMMYFUNCTION("""COMPUTED_VALUE"""),"2 985")</f>
        <v>2 985</v>
      </c>
      <c r="F116" s="73" t="str">
        <f>IFERROR(__xludf.DUMMYFUNCTION("""COMPUTED_VALUE"""),"10 926")</f>
        <v>10 926</v>
      </c>
      <c r="G116" s="73" t="str">
        <f>IFERROR(__xludf.DUMMYFUNCTION("""COMPUTED_VALUE"""),"1 190")</f>
        <v>1 190</v>
      </c>
      <c r="H116" s="73" t="str">
        <f>IFERROR(__xludf.DUMMYFUNCTION("""COMPUTED_VALUE"""),"82 304")</f>
        <v>82 304</v>
      </c>
      <c r="I116" s="73"/>
    </row>
    <row r="117">
      <c r="A117" s="77" t="str">
        <f>IFERROR(__xludf.DUMMYFUNCTION("""COMPUTED_VALUE"""),"RUAL-3.26")</f>
        <v>RUAL-3.26</v>
      </c>
      <c r="B117" s="73" t="str">
        <f>IFERROR(__xludf.DUMMYFUNCTION("""COMPUTED_VALUE"""),"3 128")</f>
        <v>3 128</v>
      </c>
      <c r="C117" s="73" t="str">
        <f>IFERROR(__xludf.DUMMYFUNCTION("""COMPUTED_VALUE"""),"-0,73%")</f>
        <v>-0,73%</v>
      </c>
      <c r="D117" s="73" t="str">
        <f>IFERROR(__xludf.DUMMYFUNCTION("""COMPUTED_VALUE"""),"3 145")</f>
        <v>3 145</v>
      </c>
      <c r="E117" s="73" t="str">
        <f>IFERROR(__xludf.DUMMYFUNCTION("""COMPUTED_VALUE"""),"3 093")</f>
        <v>3 093</v>
      </c>
      <c r="F117" s="73">
        <f>IFERROR(__xludf.DUMMYFUNCTION("""COMPUTED_VALUE"""),58.0)</f>
        <v>58</v>
      </c>
      <c r="G117" s="73">
        <f>IFERROR(__xludf.DUMMYFUNCTION("""COMPUTED_VALUE"""),10.0)</f>
        <v>10</v>
      </c>
      <c r="H117" s="73" t="str">
        <f>IFERROR(__xludf.DUMMYFUNCTION("""COMPUTED_VALUE"""),"2 304")</f>
        <v>2 304</v>
      </c>
      <c r="I117" s="73"/>
    </row>
    <row r="118">
      <c r="A118" s="77" t="str">
        <f>IFERROR(__xludf.DUMMYFUNCTION("""COMPUTED_VALUE"""),"*Фьючерсный контракт на обыкновенные акции ПАО «НК «Роснефть»*")</f>
        <v>*Фьючерсный контракт на обыкновенные акции ПАО «НК «Роснефть»*</v>
      </c>
      <c r="B118" s="73"/>
      <c r="C118" s="73"/>
      <c r="D118" s="73"/>
      <c r="E118" s="73"/>
      <c r="F118" s="73"/>
      <c r="G118" s="73"/>
      <c r="H118" s="73"/>
      <c r="I118" s="73"/>
    </row>
    <row r="119">
      <c r="A119" s="77" t="str">
        <f>IFERROR(__xludf.DUMMYFUNCTION("""COMPUTED_VALUE"""),"ROSN-12.25")</f>
        <v>ROSN-12.25</v>
      </c>
      <c r="B119" s="73" t="str">
        <f>IFERROR(__xludf.DUMMYFUNCTION("""COMPUTED_VALUE"""),"41 426")</f>
        <v>41 426</v>
      </c>
      <c r="C119" s="73" t="str">
        <f>IFERROR(__xludf.DUMMYFUNCTION("""COMPUTED_VALUE"""),"+0,48%")</f>
        <v>+0,48%</v>
      </c>
      <c r="D119" s="73" t="str">
        <f>IFERROR(__xludf.DUMMYFUNCTION("""COMPUTED_VALUE"""),"41 729")</f>
        <v>41 729</v>
      </c>
      <c r="E119" s="73" t="str">
        <f>IFERROR(__xludf.DUMMYFUNCTION("""COMPUTED_VALUE"""),"40 913")</f>
        <v>40 913</v>
      </c>
      <c r="F119" s="73" t="str">
        <f>IFERROR(__xludf.DUMMYFUNCTION("""COMPUTED_VALUE"""),"8 063")</f>
        <v>8 063</v>
      </c>
      <c r="G119" s="73" t="str">
        <f>IFERROR(__xludf.DUMMYFUNCTION("""COMPUTED_VALUE"""),"2 539")</f>
        <v>2 539</v>
      </c>
      <c r="H119" s="73" t="str">
        <f>IFERROR(__xludf.DUMMYFUNCTION("""COMPUTED_VALUE"""),"32 732")</f>
        <v>32 732</v>
      </c>
      <c r="I119" s="73"/>
    </row>
    <row r="120">
      <c r="A120" s="77" t="str">
        <f>IFERROR(__xludf.DUMMYFUNCTION("""COMPUTED_VALUE"""),"ROSN-3.26")</f>
        <v>ROSN-3.26</v>
      </c>
      <c r="B120" s="73" t="str">
        <f>IFERROR(__xludf.DUMMYFUNCTION("""COMPUTED_VALUE"""),"42 624")</f>
        <v>42 624</v>
      </c>
      <c r="C120" s="73" t="str">
        <f>IFERROR(__xludf.DUMMYFUNCTION("""COMPUTED_VALUE"""),"+0,63%")</f>
        <v>+0,63%</v>
      </c>
      <c r="D120" s="73" t="str">
        <f>IFERROR(__xludf.DUMMYFUNCTION("""COMPUTED_VALUE"""),"42 624")</f>
        <v>42 624</v>
      </c>
      <c r="E120" s="73" t="str">
        <f>IFERROR(__xludf.DUMMYFUNCTION("""COMPUTED_VALUE"""),"42 096")</f>
        <v>42 096</v>
      </c>
      <c r="F120" s="73">
        <f>IFERROR(__xludf.DUMMYFUNCTION("""COMPUTED_VALUE"""),30.0)</f>
        <v>30</v>
      </c>
      <c r="G120" s="73">
        <f>IFERROR(__xludf.DUMMYFUNCTION("""COMPUTED_VALUE"""),29.0)</f>
        <v>29</v>
      </c>
      <c r="H120" s="73" t="str">
        <f>IFERROR(__xludf.DUMMYFUNCTION("""COMPUTED_VALUE"""),"1 032")</f>
        <v>1 032</v>
      </c>
      <c r="I120" s="73"/>
    </row>
    <row r="121">
      <c r="A121" s="77" t="str">
        <f>IFERROR(__xludf.DUMMYFUNCTION("""COMPUTED_VALUE"""),"ROSN-6.26")</f>
        <v>ROSN-6.26</v>
      </c>
      <c r="B121" s="73" t="str">
        <f>IFERROR(__xludf.DUMMYFUNCTION("""COMPUTED_VALUE"""),"44 186")</f>
        <v>44 186</v>
      </c>
      <c r="C121" s="73" t="str">
        <f>IFERROR(__xludf.DUMMYFUNCTION("""COMPUTED_VALUE"""),"-0,80%")</f>
        <v>-0,80%</v>
      </c>
      <c r="D121" s="73" t="str">
        <f>IFERROR(__xludf.DUMMYFUNCTION("""COMPUTED_VALUE"""),"44 195")</f>
        <v>44 195</v>
      </c>
      <c r="E121" s="73" t="str">
        <f>IFERROR(__xludf.DUMMYFUNCTION("""COMPUTED_VALUE"""),"44 068")</f>
        <v>44 068</v>
      </c>
      <c r="F121" s="73">
        <f>IFERROR(__xludf.DUMMYFUNCTION("""COMPUTED_VALUE"""),5.0)</f>
        <v>5</v>
      </c>
      <c r="G121" s="73">
        <f>IFERROR(__xludf.DUMMYFUNCTION("""COMPUTED_VALUE"""),5.0)</f>
        <v>5</v>
      </c>
      <c r="H121" s="73">
        <f>IFERROR(__xludf.DUMMYFUNCTION("""COMPUTED_VALUE"""),570.0)</f>
        <v>570</v>
      </c>
      <c r="I121" s="73"/>
    </row>
    <row r="122">
      <c r="A122" s="77" t="str">
        <f>IFERROR(__xludf.DUMMYFUNCTION("""COMPUTED_VALUE"""),"ROSN-9.26")</f>
        <v>ROSN-9.26</v>
      </c>
      <c r="B122" s="73" t="str">
        <f>IFERROR(__xludf.DUMMYFUNCTION("""COMPUTED_VALUE"""),"-")</f>
        <v>-</v>
      </c>
      <c r="C122" s="73" t="str">
        <f>IFERROR(__xludf.DUMMYFUNCTION("""COMPUTED_VALUE"""),"-")</f>
        <v>-</v>
      </c>
      <c r="D122" s="73" t="str">
        <f>IFERROR(__xludf.DUMMYFUNCTION("""COMPUTED_VALUE"""),"-")</f>
        <v>-</v>
      </c>
      <c r="E122" s="73" t="str">
        <f>IFERROR(__xludf.DUMMYFUNCTION("""COMPUTED_VALUE"""),"-")</f>
        <v>-</v>
      </c>
      <c r="F122" s="73" t="str">
        <f>IFERROR(__xludf.DUMMYFUNCTION("""COMPUTED_VALUE"""),"-")</f>
        <v>-</v>
      </c>
      <c r="G122" s="73" t="str">
        <f>IFERROR(__xludf.DUMMYFUNCTION("""COMPUTED_VALUE"""),"-")</f>
        <v>-</v>
      </c>
      <c r="H122" s="73">
        <f>IFERROR(__xludf.DUMMYFUNCTION("""COMPUTED_VALUE"""),28.0)</f>
        <v>28</v>
      </c>
      <c r="I122" s="73"/>
    </row>
    <row r="123">
      <c r="A123" s="77" t="str">
        <f>IFERROR(__xludf.DUMMYFUNCTION("""COMPUTED_VALUE"""),"*Фьючерсный контракт на обыкновенные акции ПАО НК ""РуссНефть""*")</f>
        <v>*Фьючерсный контракт на обыкновенные акции ПАО НК "РуссНефть"*</v>
      </c>
      <c r="B123" s="73"/>
      <c r="C123" s="73"/>
      <c r="D123" s="73"/>
      <c r="E123" s="73"/>
      <c r="F123" s="73"/>
      <c r="G123" s="73"/>
      <c r="H123" s="73"/>
      <c r="I123" s="73"/>
    </row>
    <row r="124">
      <c r="A124" s="77" t="str">
        <f>IFERROR(__xludf.DUMMYFUNCTION("""COMPUTED_VALUE"""),"RNFT-12.25")</f>
        <v>RNFT-12.25</v>
      </c>
      <c r="B124" s="73">
        <f>IFERROR(__xludf.DUMMYFUNCTION("""COMPUTED_VALUE"""),960.0)</f>
        <v>960</v>
      </c>
      <c r="C124" s="73" t="str">
        <f>IFERROR(__xludf.DUMMYFUNCTION("""COMPUTED_VALUE"""),"-2,04%")</f>
        <v>-2,04%</v>
      </c>
      <c r="D124" s="73">
        <f>IFERROR(__xludf.DUMMYFUNCTION("""COMPUTED_VALUE"""),984.0)</f>
        <v>984</v>
      </c>
      <c r="E124" s="73">
        <f>IFERROR(__xludf.DUMMYFUNCTION("""COMPUTED_VALUE"""),947.0)</f>
        <v>947</v>
      </c>
      <c r="F124" s="73" t="str">
        <f>IFERROR(__xludf.DUMMYFUNCTION("""COMPUTED_VALUE"""),"7 311")</f>
        <v>7 311</v>
      </c>
      <c r="G124" s="73">
        <f>IFERROR(__xludf.DUMMYFUNCTION("""COMPUTED_VALUE"""),462.0)</f>
        <v>462</v>
      </c>
      <c r="H124" s="73" t="str">
        <f>IFERROR(__xludf.DUMMYFUNCTION("""COMPUTED_VALUE"""),"51 414")</f>
        <v>51 414</v>
      </c>
      <c r="I124" s="73"/>
    </row>
    <row r="125">
      <c r="A125" s="77" t="str">
        <f>IFERROR(__xludf.DUMMYFUNCTION("""COMPUTED_VALUE"""),"RNFT-3.26")</f>
        <v>RNFT-3.26</v>
      </c>
      <c r="B125" s="73" t="str">
        <f>IFERROR(__xludf.DUMMYFUNCTION("""COMPUTED_VALUE"""),"1 001")</f>
        <v>1 001</v>
      </c>
      <c r="C125" s="73" t="str">
        <f>IFERROR(__xludf.DUMMYFUNCTION("""COMPUTED_VALUE"""),"-1,96%")</f>
        <v>-1,96%</v>
      </c>
      <c r="D125" s="73" t="str">
        <f>IFERROR(__xludf.DUMMYFUNCTION("""COMPUTED_VALUE"""),"1 003")</f>
        <v>1 003</v>
      </c>
      <c r="E125" s="73">
        <f>IFERROR(__xludf.DUMMYFUNCTION("""COMPUTED_VALUE"""),997.0)</f>
        <v>997</v>
      </c>
      <c r="F125" s="73">
        <f>IFERROR(__xludf.DUMMYFUNCTION("""COMPUTED_VALUE"""),40.0)</f>
        <v>40</v>
      </c>
      <c r="G125" s="73">
        <f>IFERROR(__xludf.DUMMYFUNCTION("""COMPUTED_VALUE"""),10.0)</f>
        <v>10</v>
      </c>
      <c r="H125" s="73" t="str">
        <f>IFERROR(__xludf.DUMMYFUNCTION("""COMPUTED_VALUE"""),"2 836")</f>
        <v>2 836</v>
      </c>
      <c r="I125" s="73"/>
    </row>
    <row r="126">
      <c r="A126" s="77" t="str">
        <f>IFERROR(__xludf.DUMMYFUNCTION("""COMPUTED_VALUE"""),"*Фьючерсный контракт на обыкновенные акции ПАО «Ростелеком»*")</f>
        <v>*Фьючерсный контракт на обыкновенные акции ПАО «Ростелеком»*</v>
      </c>
      <c r="B126" s="73"/>
      <c r="C126" s="73"/>
      <c r="D126" s="73"/>
      <c r="E126" s="73"/>
      <c r="F126" s="73"/>
      <c r="G126" s="73"/>
      <c r="H126" s="73"/>
      <c r="I126" s="73"/>
    </row>
    <row r="127">
      <c r="A127" s="77" t="str">
        <f>IFERROR(__xludf.DUMMYFUNCTION("""COMPUTED_VALUE"""),"RTKM-12.25")</f>
        <v>RTKM-12.25</v>
      </c>
      <c r="B127" s="73" t="str">
        <f>IFERROR(__xludf.DUMMYFUNCTION("""COMPUTED_VALUE"""),"6 181")</f>
        <v>6 181</v>
      </c>
      <c r="C127" s="73" t="str">
        <f>IFERROR(__xludf.DUMMYFUNCTION("""COMPUTED_VALUE"""),"-0,03%")</f>
        <v>-0,03%</v>
      </c>
      <c r="D127" s="73" t="str">
        <f>IFERROR(__xludf.DUMMYFUNCTION("""COMPUTED_VALUE"""),"6 220")</f>
        <v>6 220</v>
      </c>
      <c r="E127" s="73" t="str">
        <f>IFERROR(__xludf.DUMMYFUNCTION("""COMPUTED_VALUE"""),"6 047")</f>
        <v>6 047</v>
      </c>
      <c r="F127" s="73" t="str">
        <f>IFERROR(__xludf.DUMMYFUNCTION("""COMPUTED_VALUE"""),"13 923")</f>
        <v>13 923</v>
      </c>
      <c r="G127" s="73" t="str">
        <f>IFERROR(__xludf.DUMMYFUNCTION("""COMPUTED_VALUE"""),"1 727")</f>
        <v>1 727</v>
      </c>
      <c r="H127" s="73" t="str">
        <f>IFERROR(__xludf.DUMMYFUNCTION("""COMPUTED_VALUE"""),"56 038")</f>
        <v>56 038</v>
      </c>
      <c r="I127" s="73"/>
    </row>
    <row r="128">
      <c r="A128" s="77" t="str">
        <f>IFERROR(__xludf.DUMMYFUNCTION("""COMPUTED_VALUE"""),"RTKM-3.26")</f>
        <v>RTKM-3.26</v>
      </c>
      <c r="B128" s="73" t="str">
        <f>IFERROR(__xludf.DUMMYFUNCTION("""COMPUTED_VALUE"""),"6 386")</f>
        <v>6 386</v>
      </c>
      <c r="C128" s="73" t="str">
        <f>IFERROR(__xludf.DUMMYFUNCTION("""COMPUTED_VALUE"""),"+0,73%")</f>
        <v>+0,73%</v>
      </c>
      <c r="D128" s="73" t="str">
        <f>IFERROR(__xludf.DUMMYFUNCTION("""COMPUTED_VALUE"""),"6 433")</f>
        <v>6 433</v>
      </c>
      <c r="E128" s="73" t="str">
        <f>IFERROR(__xludf.DUMMYFUNCTION("""COMPUTED_VALUE"""),"6 252")</f>
        <v>6 252</v>
      </c>
      <c r="F128" s="73">
        <f>IFERROR(__xludf.DUMMYFUNCTION("""COMPUTED_VALUE"""),53.0)</f>
        <v>53</v>
      </c>
      <c r="G128" s="73">
        <f>IFERROR(__xludf.DUMMYFUNCTION("""COMPUTED_VALUE"""),21.0)</f>
        <v>21</v>
      </c>
      <c r="H128" s="73">
        <f>IFERROR(__xludf.DUMMYFUNCTION("""COMPUTED_VALUE"""),442.0)</f>
        <v>442</v>
      </c>
      <c r="I128" s="73"/>
    </row>
    <row r="129">
      <c r="A129" s="77" t="str">
        <f>IFERROR(__xludf.DUMMYFUNCTION("""COMPUTED_VALUE"""),"*Однодневный фьючерсный контракт с автопролонгацией на обыкновенные акции 
ПАО Сбербанк*")</f>
        <v>*Однодневный фьючерсный контракт с автопролонгацией на обыкновенные акции 
ПАО Сбербанк*</v>
      </c>
      <c r="B129" s="73"/>
      <c r="C129" s="73"/>
      <c r="D129" s="73"/>
      <c r="E129" s="73"/>
      <c r="F129" s="73"/>
      <c r="G129" s="73"/>
      <c r="H129" s="73"/>
      <c r="I129" s="73"/>
    </row>
    <row r="130">
      <c r="A130" s="77" t="str">
        <f>IFERROR(__xludf.DUMMYFUNCTION("""COMPUTED_VALUE"""),"SBERF")</f>
        <v>SBERF</v>
      </c>
      <c r="B130" s="73" t="str">
        <f>IFERROR(__xludf.DUMMYFUNCTION("""COMPUTED_VALUE"""),"284,09")</f>
        <v>284,09</v>
      </c>
      <c r="C130" s="73" t="str">
        <f>IFERROR(__xludf.DUMMYFUNCTION("""COMPUTED_VALUE"""),"+0,10%")</f>
        <v>+0,10%</v>
      </c>
      <c r="D130" s="73">
        <f>IFERROR(__xludf.DUMMYFUNCTION("""COMPUTED_VALUE"""),286.0)</f>
        <v>286</v>
      </c>
      <c r="E130" s="73" t="str">
        <f>IFERROR(__xludf.DUMMYFUNCTION("""COMPUTED_VALUE"""),"282,41")</f>
        <v>282,41</v>
      </c>
      <c r="F130" s="73" t="str">
        <f>IFERROR(__xludf.DUMMYFUNCTION("""COMPUTED_VALUE"""),"11 839")</f>
        <v>11 839</v>
      </c>
      <c r="G130" s="73" t="str">
        <f>IFERROR(__xludf.DUMMYFUNCTION("""COMPUTED_VALUE"""),"1 857")</f>
        <v>1 857</v>
      </c>
      <c r="H130" s="73" t="str">
        <f>IFERROR(__xludf.DUMMYFUNCTION("""COMPUTED_VALUE"""),"127 334")</f>
        <v>127 334</v>
      </c>
      <c r="I130" s="73"/>
    </row>
    <row r="131">
      <c r="A131" s="77" t="str">
        <f>IFERROR(__xludf.DUMMYFUNCTION("""COMPUTED_VALUE"""),"*Фьючерсный контракт на обыкновенные акции ПАО ""СПБ Биржа""*")</f>
        <v>*Фьючерсный контракт на обыкновенные акции ПАО "СПБ Биржа"*</v>
      </c>
      <c r="B131" s="73"/>
      <c r="C131" s="73"/>
      <c r="D131" s="73"/>
      <c r="E131" s="73"/>
      <c r="F131" s="73"/>
      <c r="G131" s="73"/>
      <c r="H131" s="73"/>
      <c r="I131" s="73"/>
    </row>
    <row r="132">
      <c r="A132" s="77" t="str">
        <f>IFERROR(__xludf.DUMMYFUNCTION("""COMPUTED_VALUE"""),"SPBE-12.25")</f>
        <v>SPBE-12.25</v>
      </c>
      <c r="B132" s="73" t="str">
        <f>IFERROR(__xludf.DUMMYFUNCTION("""COMPUTED_VALUE"""),"2 086")</f>
        <v>2 086</v>
      </c>
      <c r="C132" s="73" t="str">
        <f>IFERROR(__xludf.DUMMYFUNCTION("""COMPUTED_VALUE"""),"-1,70%")</f>
        <v>-1,70%</v>
      </c>
      <c r="D132" s="73" t="str">
        <f>IFERROR(__xludf.DUMMYFUNCTION("""COMPUTED_VALUE"""),"2 131")</f>
        <v>2 131</v>
      </c>
      <c r="E132" s="73" t="str">
        <f>IFERROR(__xludf.DUMMYFUNCTION("""COMPUTED_VALUE"""),"2 066")</f>
        <v>2 066</v>
      </c>
      <c r="F132" s="73" t="str">
        <f>IFERROR(__xludf.DUMMYFUNCTION("""COMPUTED_VALUE"""),"16 814")</f>
        <v>16 814</v>
      </c>
      <c r="G132" s="73" t="str">
        <f>IFERROR(__xludf.DUMMYFUNCTION("""COMPUTED_VALUE"""),"1 886")</f>
        <v>1 886</v>
      </c>
      <c r="H132" s="73" t="str">
        <f>IFERROR(__xludf.DUMMYFUNCTION("""COMPUTED_VALUE"""),"62 580")</f>
        <v>62 580</v>
      </c>
      <c r="I132" s="73"/>
    </row>
    <row r="133">
      <c r="A133" s="77" t="str">
        <f>IFERROR(__xludf.DUMMYFUNCTION("""COMPUTED_VALUE"""),"SPBE-3.26")</f>
        <v>SPBE-3.26</v>
      </c>
      <c r="B133" s="73" t="str">
        <f>IFERROR(__xludf.DUMMYFUNCTION("""COMPUTED_VALUE"""),"2 187")</f>
        <v>2 187</v>
      </c>
      <c r="C133" s="73" t="str">
        <f>IFERROR(__xludf.DUMMYFUNCTION("""COMPUTED_VALUE"""),"-1,44%")</f>
        <v>-1,44%</v>
      </c>
      <c r="D133" s="73" t="str">
        <f>IFERROR(__xludf.DUMMYFUNCTION("""COMPUTED_VALUE"""),"2 187")</f>
        <v>2 187</v>
      </c>
      <c r="E133" s="73" t="str">
        <f>IFERROR(__xludf.DUMMYFUNCTION("""COMPUTED_VALUE"""),"2 172")</f>
        <v>2 172</v>
      </c>
      <c r="F133" s="73">
        <f>IFERROR(__xludf.DUMMYFUNCTION("""COMPUTED_VALUE"""),2.0)</f>
        <v>2</v>
      </c>
      <c r="G133" s="73">
        <f>IFERROR(__xludf.DUMMYFUNCTION("""COMPUTED_VALUE"""),2.0)</f>
        <v>2</v>
      </c>
      <c r="H133" s="73">
        <f>IFERROR(__xludf.DUMMYFUNCTION("""COMPUTED_VALUE"""),546.0)</f>
        <v>546</v>
      </c>
      <c r="I133" s="73"/>
    </row>
    <row r="134">
      <c r="A134" s="77" t="str">
        <f>IFERROR(__xludf.DUMMYFUNCTION("""COMPUTED_VALUE"""),"*Фьючерсный контракт на обыкновенные акции ПАО ""ЭсЭфАй""*")</f>
        <v>*Фьючерсный контракт на обыкновенные акции ПАО "ЭсЭфАй"*</v>
      </c>
      <c r="B134" s="73"/>
      <c r="C134" s="73"/>
      <c r="D134" s="73"/>
      <c r="E134" s="73"/>
      <c r="F134" s="73"/>
      <c r="G134" s="73"/>
      <c r="H134" s="73"/>
      <c r="I134" s="73"/>
    </row>
    <row r="135">
      <c r="A135" s="77" t="str">
        <f>IFERROR(__xludf.DUMMYFUNCTION("""COMPUTED_VALUE"""),"SFIN-12.25")</f>
        <v>SFIN-12.25</v>
      </c>
      <c r="B135" s="73" t="str">
        <f>IFERROR(__xludf.DUMMYFUNCTION("""COMPUTED_VALUE"""),"1 040")</f>
        <v>1 040</v>
      </c>
      <c r="C135" s="73" t="str">
        <f>IFERROR(__xludf.DUMMYFUNCTION("""COMPUTED_VALUE"""),"-0,46%")</f>
        <v>-0,46%</v>
      </c>
      <c r="D135" s="73" t="str">
        <f>IFERROR(__xludf.DUMMYFUNCTION("""COMPUTED_VALUE"""),"1 047,2")</f>
        <v>1 047,2</v>
      </c>
      <c r="E135" s="73" t="str">
        <f>IFERROR(__xludf.DUMMYFUNCTION("""COMPUTED_VALUE"""),"1 029,6")</f>
        <v>1 029,6</v>
      </c>
      <c r="F135" s="73" t="str">
        <f>IFERROR(__xludf.DUMMYFUNCTION("""COMPUTED_VALUE"""),"4 159")</f>
        <v>4 159</v>
      </c>
      <c r="G135" s="73">
        <f>IFERROR(__xludf.DUMMYFUNCTION("""COMPUTED_VALUE"""),109.0)</f>
        <v>109</v>
      </c>
      <c r="H135" s="73" t="str">
        <f>IFERROR(__xludf.DUMMYFUNCTION("""COMPUTED_VALUE"""),"61 476")</f>
        <v>61 476</v>
      </c>
      <c r="I135" s="73"/>
    </row>
    <row r="136">
      <c r="A136" s="77" t="str">
        <f>IFERROR(__xludf.DUMMYFUNCTION("""COMPUTED_VALUE"""),"SFIN-3.26")</f>
        <v>SFIN-3.26</v>
      </c>
      <c r="B136" s="73">
        <f>IFERROR(__xludf.DUMMYFUNCTION("""COMPUTED_VALUE"""),986.0)</f>
        <v>986</v>
      </c>
      <c r="C136" s="73" t="str">
        <f>IFERROR(__xludf.DUMMYFUNCTION("""COMPUTED_VALUE"""),"-0,30%")</f>
        <v>-0,30%</v>
      </c>
      <c r="D136" s="73">
        <f>IFERROR(__xludf.DUMMYFUNCTION("""COMPUTED_VALUE"""),989.0)</f>
        <v>989</v>
      </c>
      <c r="E136" s="73">
        <f>IFERROR(__xludf.DUMMYFUNCTION("""COMPUTED_VALUE"""),969.0)</f>
        <v>969</v>
      </c>
      <c r="F136" s="73">
        <f>IFERROR(__xludf.DUMMYFUNCTION("""COMPUTED_VALUE"""),222.0)</f>
        <v>222</v>
      </c>
      <c r="G136" s="73">
        <f>IFERROR(__xludf.DUMMYFUNCTION("""COMPUTED_VALUE"""),23.0)</f>
        <v>23</v>
      </c>
      <c r="H136" s="73" t="str">
        <f>IFERROR(__xludf.DUMMYFUNCTION("""COMPUTED_VALUE"""),"7 626")</f>
        <v>7 626</v>
      </c>
      <c r="I136" s="73"/>
    </row>
    <row r="137">
      <c r="A137" s="77" t="str">
        <f>IFERROR(__xludf.DUMMYFUNCTION("""COMPUTED_VALUE"""),"*Фьючерсный контракт на привилегированные акции ПАО «Сургутнефтегаз»*")</f>
        <v>*Фьючерсный контракт на привилегированные акции ПАО «Сургутнефтегаз»*</v>
      </c>
      <c r="B137" s="73"/>
      <c r="C137" s="73"/>
      <c r="D137" s="73"/>
      <c r="E137" s="73"/>
      <c r="F137" s="73"/>
      <c r="G137" s="73"/>
      <c r="H137" s="73"/>
      <c r="I137" s="73"/>
    </row>
    <row r="138">
      <c r="A138" s="77" t="str">
        <f>IFERROR(__xludf.DUMMYFUNCTION("""COMPUTED_VALUE"""),"SNGP-12.25")</f>
        <v>SNGP-12.25</v>
      </c>
      <c r="B138" s="73" t="str">
        <f>IFERROR(__xludf.DUMMYFUNCTION("""COMPUTED_VALUE"""),"38 051")</f>
        <v>38 051</v>
      </c>
      <c r="C138" s="73" t="str">
        <f>IFERROR(__xludf.DUMMYFUNCTION("""COMPUTED_VALUE"""),"-1,05%")</f>
        <v>-1,05%</v>
      </c>
      <c r="D138" s="73" t="str">
        <f>IFERROR(__xludf.DUMMYFUNCTION("""COMPUTED_VALUE"""),"38 585")</f>
        <v>38 585</v>
      </c>
      <c r="E138" s="73" t="str">
        <f>IFERROR(__xludf.DUMMYFUNCTION("""COMPUTED_VALUE"""),"37 934")</f>
        <v>37 934</v>
      </c>
      <c r="F138" s="73" t="str">
        <f>IFERROR(__xludf.DUMMYFUNCTION("""COMPUTED_VALUE"""),"1 572")</f>
        <v>1 572</v>
      </c>
      <c r="G138" s="73">
        <f>IFERROR(__xludf.DUMMYFUNCTION("""COMPUTED_VALUE"""),879.0)</f>
        <v>879</v>
      </c>
      <c r="H138" s="73" t="str">
        <f>IFERROR(__xludf.DUMMYFUNCTION("""COMPUTED_VALUE"""),"19 522")</f>
        <v>19 522</v>
      </c>
      <c r="I138" s="73"/>
    </row>
    <row r="139">
      <c r="A139" s="77" t="str">
        <f>IFERROR(__xludf.DUMMYFUNCTION("""COMPUTED_VALUE"""),"SNGP-3.26")</f>
        <v>SNGP-3.26</v>
      </c>
      <c r="B139" s="73" t="str">
        <f>IFERROR(__xludf.DUMMYFUNCTION("""COMPUTED_VALUE"""),"39 700")</f>
        <v>39 700</v>
      </c>
      <c r="C139" s="73" t="str">
        <f>IFERROR(__xludf.DUMMYFUNCTION("""COMPUTED_VALUE"""),"-1,00%")</f>
        <v>-1,00%</v>
      </c>
      <c r="D139" s="73" t="str">
        <f>IFERROR(__xludf.DUMMYFUNCTION("""COMPUTED_VALUE"""),"40 180")</f>
        <v>40 180</v>
      </c>
      <c r="E139" s="73" t="str">
        <f>IFERROR(__xludf.DUMMYFUNCTION("""COMPUTED_VALUE"""),"39 614")</f>
        <v>39 614</v>
      </c>
      <c r="F139" s="73">
        <f>IFERROR(__xludf.DUMMYFUNCTION("""COMPUTED_VALUE"""),125.0)</f>
        <v>125</v>
      </c>
      <c r="G139" s="73">
        <f>IFERROR(__xludf.DUMMYFUNCTION("""COMPUTED_VALUE"""),75.0)</f>
        <v>75</v>
      </c>
      <c r="H139" s="73">
        <f>IFERROR(__xludf.DUMMYFUNCTION("""COMPUTED_VALUE"""),288.0)</f>
        <v>288</v>
      </c>
      <c r="I139" s="73"/>
    </row>
    <row r="140">
      <c r="A140" s="77" t="str">
        <f>IFERROR(__xludf.DUMMYFUNCTION("""COMPUTED_VALUE"""),"*Фьючерсный контракт на обыкновенные акции ПАО “Сегежа Групп”*")</f>
        <v>*Фьючерсный контракт на обыкновенные акции ПАО “Сегежа Групп”*</v>
      </c>
      <c r="B140" s="73"/>
      <c r="C140" s="73"/>
      <c r="D140" s="73"/>
      <c r="E140" s="73"/>
      <c r="F140" s="73"/>
      <c r="G140" s="73"/>
      <c r="H140" s="73"/>
      <c r="I140" s="73"/>
    </row>
    <row r="141">
      <c r="A141" s="77" t="str">
        <f>IFERROR(__xludf.DUMMYFUNCTION("""COMPUTED_VALUE"""),"SGZH-12.25")</f>
        <v>SGZH-12.25</v>
      </c>
      <c r="B141" s="73" t="str">
        <f>IFERROR(__xludf.DUMMYFUNCTION("""COMPUTED_VALUE"""),"1 188")</f>
        <v>1 188</v>
      </c>
      <c r="C141" s="73" t="str">
        <f>IFERROR(__xludf.DUMMYFUNCTION("""COMPUTED_VALUE"""),"+0,17%")</f>
        <v>+0,17%</v>
      </c>
      <c r="D141" s="73" t="str">
        <f>IFERROR(__xludf.DUMMYFUNCTION("""COMPUTED_VALUE"""),"1 206")</f>
        <v>1 206</v>
      </c>
      <c r="E141" s="73" t="str">
        <f>IFERROR(__xludf.DUMMYFUNCTION("""COMPUTED_VALUE"""),"1 168")</f>
        <v>1 168</v>
      </c>
      <c r="F141" s="73" t="str">
        <f>IFERROR(__xludf.DUMMYFUNCTION("""COMPUTED_VALUE"""),"17 507")</f>
        <v>17 507</v>
      </c>
      <c r="G141" s="73">
        <f>IFERROR(__xludf.DUMMYFUNCTION("""COMPUTED_VALUE"""),681.0)</f>
        <v>681</v>
      </c>
      <c r="H141" s="73" t="str">
        <f>IFERROR(__xludf.DUMMYFUNCTION("""COMPUTED_VALUE"""),"112 350")</f>
        <v>112 350</v>
      </c>
      <c r="I141" s="73"/>
    </row>
    <row r="142">
      <c r="A142" s="77" t="str">
        <f>IFERROR(__xludf.DUMMYFUNCTION("""COMPUTED_VALUE"""),"SGZH-3.26")</f>
        <v>SGZH-3.26</v>
      </c>
      <c r="B142" s="73" t="str">
        <f>IFERROR(__xludf.DUMMYFUNCTION("""COMPUTED_VALUE"""),"1 238")</f>
        <v>1 238</v>
      </c>
      <c r="C142" s="73" t="str">
        <f>IFERROR(__xludf.DUMMYFUNCTION("""COMPUTED_VALUE"""),"+0,16%")</f>
        <v>+0,16%</v>
      </c>
      <c r="D142" s="73" t="str">
        <f>IFERROR(__xludf.DUMMYFUNCTION("""COMPUTED_VALUE"""),"1 238")</f>
        <v>1 238</v>
      </c>
      <c r="E142" s="73" t="str">
        <f>IFERROR(__xludf.DUMMYFUNCTION("""COMPUTED_VALUE"""),"1 214")</f>
        <v>1 214</v>
      </c>
      <c r="F142" s="73">
        <f>IFERROR(__xludf.DUMMYFUNCTION("""COMPUTED_VALUE"""),125.0)</f>
        <v>125</v>
      </c>
      <c r="G142" s="73">
        <f>IFERROR(__xludf.DUMMYFUNCTION("""COMPUTED_VALUE"""),18.0)</f>
        <v>18</v>
      </c>
      <c r="H142" s="73" t="str">
        <f>IFERROR(__xludf.DUMMYFUNCTION("""COMPUTED_VALUE"""),"3 596")</f>
        <v>3 596</v>
      </c>
      <c r="I142" s="73"/>
    </row>
    <row r="143">
      <c r="A143" s="77" t="str">
        <f>IFERROR(__xludf.DUMMYFUNCTION("""COMPUTED_VALUE"""),"*Фьючерсный контракт на обыкновенные акции ПАО «Сургутнефтегаз»*")</f>
        <v>*Фьючерсный контракт на обыкновенные акции ПАО «Сургутнефтегаз»*</v>
      </c>
      <c r="B143" s="73"/>
      <c r="C143" s="73"/>
      <c r="D143" s="73"/>
      <c r="E143" s="73"/>
      <c r="F143" s="73"/>
      <c r="G143" s="73"/>
      <c r="H143" s="73"/>
      <c r="I143" s="73"/>
    </row>
    <row r="144">
      <c r="A144" s="77" t="str">
        <f>IFERROR(__xludf.DUMMYFUNCTION("""COMPUTED_VALUE"""),"SNGR-12.25")</f>
        <v>SNGR-12.25</v>
      </c>
      <c r="B144" s="73" t="str">
        <f>IFERROR(__xludf.DUMMYFUNCTION("""COMPUTED_VALUE"""),"20 468")</f>
        <v>20 468</v>
      </c>
      <c r="C144" s="73" t="str">
        <f>IFERROR(__xludf.DUMMYFUNCTION("""COMPUTED_VALUE"""),"-0,32%")</f>
        <v>-0,32%</v>
      </c>
      <c r="D144" s="73" t="str">
        <f>IFERROR(__xludf.DUMMYFUNCTION("""COMPUTED_VALUE"""),"20 753")</f>
        <v>20 753</v>
      </c>
      <c r="E144" s="73" t="str">
        <f>IFERROR(__xludf.DUMMYFUNCTION("""COMPUTED_VALUE"""),"20 435")</f>
        <v>20 435</v>
      </c>
      <c r="F144" s="73" t="str">
        <f>IFERROR(__xludf.DUMMYFUNCTION("""COMPUTED_VALUE"""),"1 793")</f>
        <v>1 793</v>
      </c>
      <c r="G144" s="73">
        <f>IFERROR(__xludf.DUMMYFUNCTION("""COMPUTED_VALUE"""),669.0)</f>
        <v>669</v>
      </c>
      <c r="H144" s="73" t="str">
        <f>IFERROR(__xludf.DUMMYFUNCTION("""COMPUTED_VALUE"""),"23 934")</f>
        <v>23 934</v>
      </c>
      <c r="I144" s="73"/>
    </row>
    <row r="145">
      <c r="A145" s="77" t="str">
        <f>IFERROR(__xludf.DUMMYFUNCTION("""COMPUTED_VALUE"""),"SNGR-3.26")</f>
        <v>SNGR-3.26</v>
      </c>
      <c r="B145" s="73" t="str">
        <f>IFERROR(__xludf.DUMMYFUNCTION("""COMPUTED_VALUE"""),"21 437")</f>
        <v>21 437</v>
      </c>
      <c r="C145" s="73" t="str">
        <f>IFERROR(__xludf.DUMMYFUNCTION("""COMPUTED_VALUE"""),"-0,11%")</f>
        <v>-0,11%</v>
      </c>
      <c r="D145" s="73" t="str">
        <f>IFERROR(__xludf.DUMMYFUNCTION("""COMPUTED_VALUE"""),"21 520")</f>
        <v>21 520</v>
      </c>
      <c r="E145" s="73" t="str">
        <f>IFERROR(__xludf.DUMMYFUNCTION("""COMPUTED_VALUE"""),"21 329")</f>
        <v>21 329</v>
      </c>
      <c r="F145" s="73">
        <f>IFERROR(__xludf.DUMMYFUNCTION("""COMPUTED_VALUE"""),100.0)</f>
        <v>100</v>
      </c>
      <c r="G145" s="73">
        <f>IFERROR(__xludf.DUMMYFUNCTION("""COMPUTED_VALUE"""),39.0)</f>
        <v>39</v>
      </c>
      <c r="H145" s="73">
        <f>IFERROR(__xludf.DUMMYFUNCTION("""COMPUTED_VALUE"""),948.0)</f>
        <v>948</v>
      </c>
      <c r="I145" s="73"/>
    </row>
    <row r="146">
      <c r="A146" s="77" t="str">
        <f>IFERROR(__xludf.DUMMYFUNCTION("""COMPUTED_VALUE"""),"*Фьючерский контракт на обыкновенные акции ПАО «Газпром нефть»*")</f>
        <v>*Фьючерский контракт на обыкновенные акции ПАО «Газпром нефть»*</v>
      </c>
      <c r="B146" s="73"/>
      <c r="C146" s="73"/>
      <c r="D146" s="73"/>
      <c r="E146" s="73"/>
      <c r="F146" s="73"/>
      <c r="G146" s="73"/>
      <c r="H146" s="73"/>
      <c r="I146" s="73"/>
    </row>
    <row r="147">
      <c r="A147" s="77" t="str">
        <f>IFERROR(__xludf.DUMMYFUNCTION("""COMPUTED_VALUE"""),"SIBN-12.25")</f>
        <v>SIBN-12.25</v>
      </c>
      <c r="B147" s="73" t="str">
        <f>IFERROR(__xludf.DUMMYFUNCTION("""COMPUTED_VALUE"""),"4 874")</f>
        <v>4 874</v>
      </c>
      <c r="C147" s="73" t="str">
        <f>IFERROR(__xludf.DUMMYFUNCTION("""COMPUTED_VALUE"""),"+1,99%")</f>
        <v>+1,99%</v>
      </c>
      <c r="D147" s="73" t="str">
        <f>IFERROR(__xludf.DUMMYFUNCTION("""COMPUTED_VALUE"""),"4 900")</f>
        <v>4 900</v>
      </c>
      <c r="E147" s="73" t="str">
        <f>IFERROR(__xludf.DUMMYFUNCTION("""COMPUTED_VALUE"""),"4 731")</f>
        <v>4 731</v>
      </c>
      <c r="F147" s="73" t="str">
        <f>IFERROR(__xludf.DUMMYFUNCTION("""COMPUTED_VALUE"""),"5 547")</f>
        <v>5 547</v>
      </c>
      <c r="G147" s="73">
        <f>IFERROR(__xludf.DUMMYFUNCTION("""COMPUTED_VALUE"""),759.0)</f>
        <v>759</v>
      </c>
      <c r="H147" s="73" t="str">
        <f>IFERROR(__xludf.DUMMYFUNCTION("""COMPUTED_VALUE"""),"43 204")</f>
        <v>43 204</v>
      </c>
      <c r="I147" s="73"/>
    </row>
    <row r="148">
      <c r="A148" s="77" t="str">
        <f>IFERROR(__xludf.DUMMYFUNCTION("""COMPUTED_VALUE"""),"SIBN-3.26")</f>
        <v>SIBN-3.26</v>
      </c>
      <c r="B148" s="73" t="str">
        <f>IFERROR(__xludf.DUMMYFUNCTION("""COMPUTED_VALUE"""),"5 050")</f>
        <v>5 050</v>
      </c>
      <c r="C148" s="73" t="str">
        <f>IFERROR(__xludf.DUMMYFUNCTION("""COMPUTED_VALUE"""),"+1,30%")</f>
        <v>+1,30%</v>
      </c>
      <c r="D148" s="73" t="str">
        <f>IFERROR(__xludf.DUMMYFUNCTION("""COMPUTED_VALUE"""),"5 070")</f>
        <v>5 070</v>
      </c>
      <c r="E148" s="73" t="str">
        <f>IFERROR(__xludf.DUMMYFUNCTION("""COMPUTED_VALUE"""),"4 940")</f>
        <v>4 940</v>
      </c>
      <c r="F148" s="73">
        <f>IFERROR(__xludf.DUMMYFUNCTION("""COMPUTED_VALUE"""),155.0)</f>
        <v>155</v>
      </c>
      <c r="G148" s="73">
        <f>IFERROR(__xludf.DUMMYFUNCTION("""COMPUTED_VALUE"""),47.0)</f>
        <v>47</v>
      </c>
      <c r="H148" s="73">
        <f>IFERROR(__xludf.DUMMYFUNCTION("""COMPUTED_VALUE"""),518.0)</f>
        <v>518</v>
      </c>
      <c r="I148" s="73"/>
    </row>
    <row r="149">
      <c r="A149" s="77" t="str">
        <f>IFERROR(__xludf.DUMMYFUNCTION("""COMPUTED_VALUE"""),"*Фьючерсный контракт на обыкновенные акции ПАО ""Софтлайн""*")</f>
        <v>*Фьючерсный контракт на обыкновенные акции ПАО "Софтлайн"*</v>
      </c>
      <c r="B149" s="73"/>
      <c r="C149" s="73"/>
      <c r="D149" s="73"/>
      <c r="E149" s="73"/>
      <c r="F149" s="73"/>
      <c r="G149" s="73"/>
      <c r="H149" s="73"/>
      <c r="I149" s="73"/>
    </row>
    <row r="150">
      <c r="A150" s="77" t="str">
        <f>IFERROR(__xludf.DUMMYFUNCTION("""COMPUTED_VALUE"""),"SOFL-12.25")</f>
        <v>SOFL-12.25</v>
      </c>
      <c r="B150" s="73">
        <f>IFERROR(__xludf.DUMMYFUNCTION("""COMPUTED_VALUE"""),856.0)</f>
        <v>856</v>
      </c>
      <c r="C150" s="73" t="str">
        <f>IFERROR(__xludf.DUMMYFUNCTION("""COMPUTED_VALUE"""),"-0,93%")</f>
        <v>-0,93%</v>
      </c>
      <c r="D150" s="73">
        <f>IFERROR(__xludf.DUMMYFUNCTION("""COMPUTED_VALUE"""),867.0)</f>
        <v>867</v>
      </c>
      <c r="E150" s="73">
        <f>IFERROR(__xludf.DUMMYFUNCTION("""COMPUTED_VALUE"""),846.0)</f>
        <v>846</v>
      </c>
      <c r="F150" s="73" t="str">
        <f>IFERROR(__xludf.DUMMYFUNCTION("""COMPUTED_VALUE"""),"5 901")</f>
        <v>5 901</v>
      </c>
      <c r="G150" s="73">
        <f>IFERROR(__xludf.DUMMYFUNCTION("""COMPUTED_VALUE"""),287.0)</f>
        <v>287</v>
      </c>
      <c r="H150" s="73" t="str">
        <f>IFERROR(__xludf.DUMMYFUNCTION("""COMPUTED_VALUE"""),"35 446")</f>
        <v>35 446</v>
      </c>
      <c r="I150" s="73"/>
    </row>
    <row r="151">
      <c r="A151" s="77" t="str">
        <f>IFERROR(__xludf.DUMMYFUNCTION("""COMPUTED_VALUE"""),"SOFL-3.26")</f>
        <v>SOFL-3.26</v>
      </c>
      <c r="B151" s="73">
        <f>IFERROR(__xludf.DUMMYFUNCTION("""COMPUTED_VALUE"""),900.0)</f>
        <v>900</v>
      </c>
      <c r="C151" s="73" t="str">
        <f>IFERROR(__xludf.DUMMYFUNCTION("""COMPUTED_VALUE"""),"-0,33%")</f>
        <v>-0,33%</v>
      </c>
      <c r="D151" s="73">
        <f>IFERROR(__xludf.DUMMYFUNCTION("""COMPUTED_VALUE"""),900.0)</f>
        <v>900</v>
      </c>
      <c r="E151" s="73">
        <f>IFERROR(__xludf.DUMMYFUNCTION("""COMPUTED_VALUE"""),887.0)</f>
        <v>887</v>
      </c>
      <c r="F151" s="73">
        <f>IFERROR(__xludf.DUMMYFUNCTION("""COMPUTED_VALUE"""),162.0)</f>
        <v>162</v>
      </c>
      <c r="G151" s="73">
        <f>IFERROR(__xludf.DUMMYFUNCTION("""COMPUTED_VALUE"""),20.0)</f>
        <v>20</v>
      </c>
      <c r="H151" s="73" t="str">
        <f>IFERROR(__xludf.DUMMYFUNCTION("""COMPUTED_VALUE"""),"1 970")</f>
        <v>1 970</v>
      </c>
      <c r="I151" s="73"/>
    </row>
    <row r="152">
      <c r="A152" s="77" t="str">
        <f>IFERROR(__xludf.DUMMYFUNCTION("""COMPUTED_VALUE"""),"*Фьючерсный контракт на привилегированные акции ПАО Сбербанк*")</f>
        <v>*Фьючерсный контракт на привилегированные акции ПАО Сбербанк*</v>
      </c>
      <c r="B152" s="73"/>
      <c r="C152" s="73"/>
      <c r="D152" s="73"/>
      <c r="E152" s="73"/>
      <c r="F152" s="73"/>
      <c r="G152" s="73"/>
      <c r="H152" s="73"/>
      <c r="I152" s="73"/>
    </row>
    <row r="153">
      <c r="A153" s="77" t="str">
        <f>IFERROR(__xludf.DUMMYFUNCTION("""COMPUTED_VALUE"""),"SBPR-12.25")</f>
        <v>SBPR-12.25</v>
      </c>
      <c r="B153" s="73" t="str">
        <f>IFERROR(__xludf.DUMMYFUNCTION("""COMPUTED_VALUE"""),"29 091")</f>
        <v>29 091</v>
      </c>
      <c r="C153" s="73" t="str">
        <f>IFERROR(__xludf.DUMMYFUNCTION("""COMPUTED_VALUE"""),"-0,24%")</f>
        <v>-0,24%</v>
      </c>
      <c r="D153" s="73" t="str">
        <f>IFERROR(__xludf.DUMMYFUNCTION("""COMPUTED_VALUE"""),"29 336")</f>
        <v>29 336</v>
      </c>
      <c r="E153" s="73" t="str">
        <f>IFERROR(__xludf.DUMMYFUNCTION("""COMPUTED_VALUE"""),"28 969")</f>
        <v>28 969</v>
      </c>
      <c r="F153" s="73" t="str">
        <f>IFERROR(__xludf.DUMMYFUNCTION("""COMPUTED_VALUE"""),"3 136")</f>
        <v>3 136</v>
      </c>
      <c r="G153" s="73" t="str">
        <f>IFERROR(__xludf.DUMMYFUNCTION("""COMPUTED_VALUE"""),"1 045")</f>
        <v>1 045</v>
      </c>
      <c r="H153" s="73" t="str">
        <f>IFERROR(__xludf.DUMMYFUNCTION("""COMPUTED_VALUE"""),"20 790")</f>
        <v>20 790</v>
      </c>
      <c r="I153" s="73"/>
    </row>
    <row r="154">
      <c r="A154" s="77" t="str">
        <f>IFERROR(__xludf.DUMMYFUNCTION("""COMPUTED_VALUE"""),"SBPR-3.26")</f>
        <v>SBPR-3.26</v>
      </c>
      <c r="B154" s="73" t="str">
        <f>IFERROR(__xludf.DUMMYFUNCTION("""COMPUTED_VALUE"""),"30 393")</f>
        <v>30 393</v>
      </c>
      <c r="C154" s="73" t="str">
        <f>IFERROR(__xludf.DUMMYFUNCTION("""COMPUTED_VALUE"""),"-0,08%")</f>
        <v>-0,08%</v>
      </c>
      <c r="D154" s="73" t="str">
        <f>IFERROR(__xludf.DUMMYFUNCTION("""COMPUTED_VALUE"""),"30 494")</f>
        <v>30 494</v>
      </c>
      <c r="E154" s="73" t="str">
        <f>IFERROR(__xludf.DUMMYFUNCTION("""COMPUTED_VALUE"""),"30 223")</f>
        <v>30 223</v>
      </c>
      <c r="F154" s="73">
        <f>IFERROR(__xludf.DUMMYFUNCTION("""COMPUTED_VALUE"""),33.0)</f>
        <v>33</v>
      </c>
      <c r="G154" s="73">
        <f>IFERROR(__xludf.DUMMYFUNCTION("""COMPUTED_VALUE"""),29.0)</f>
        <v>29</v>
      </c>
      <c r="H154" s="73" t="str">
        <f>IFERROR(__xludf.DUMMYFUNCTION("""COMPUTED_VALUE"""),"1 402")</f>
        <v>1 402</v>
      </c>
      <c r="I154" s="73"/>
    </row>
    <row r="155">
      <c r="A155" s="77" t="str">
        <f>IFERROR(__xludf.DUMMYFUNCTION("""COMPUTED_VALUE"""),"SBPR-6.26")</f>
        <v>SBPR-6.26</v>
      </c>
      <c r="B155" s="73" t="str">
        <f>IFERROR(__xludf.DUMMYFUNCTION("""COMPUTED_VALUE"""),"-")</f>
        <v>-</v>
      </c>
      <c r="C155" s="73" t="str">
        <f>IFERROR(__xludf.DUMMYFUNCTION("""COMPUTED_VALUE"""),"-")</f>
        <v>-</v>
      </c>
      <c r="D155" s="73" t="str">
        <f>IFERROR(__xludf.DUMMYFUNCTION("""COMPUTED_VALUE"""),"-")</f>
        <v>-</v>
      </c>
      <c r="E155" s="73" t="str">
        <f>IFERROR(__xludf.DUMMYFUNCTION("""COMPUTED_VALUE"""),"-")</f>
        <v>-</v>
      </c>
      <c r="F155" s="73" t="str">
        <f>IFERROR(__xludf.DUMMYFUNCTION("""COMPUTED_VALUE"""),"-")</f>
        <v>-</v>
      </c>
      <c r="G155" s="73" t="str">
        <f>IFERROR(__xludf.DUMMYFUNCTION("""COMPUTED_VALUE"""),"-")</f>
        <v>-</v>
      </c>
      <c r="H155" s="73">
        <f>IFERROR(__xludf.DUMMYFUNCTION("""COMPUTED_VALUE"""),32.0)</f>
        <v>32</v>
      </c>
      <c r="I155" s="73"/>
    </row>
    <row r="156">
      <c r="A156" s="77" t="str">
        <f>IFERROR(__xludf.DUMMYFUNCTION("""COMPUTED_VALUE"""),"SBPR-9.26")</f>
        <v>SBPR-9.26</v>
      </c>
      <c r="B156" s="73" t="str">
        <f>IFERROR(__xludf.DUMMYFUNCTION("""COMPUTED_VALUE"""),"-")</f>
        <v>-</v>
      </c>
      <c r="C156" s="73" t="str">
        <f>IFERROR(__xludf.DUMMYFUNCTION("""COMPUTED_VALUE"""),"-")</f>
        <v>-</v>
      </c>
      <c r="D156" s="73" t="str">
        <f>IFERROR(__xludf.DUMMYFUNCTION("""COMPUTED_VALUE"""),"-")</f>
        <v>-</v>
      </c>
      <c r="E156" s="73" t="str">
        <f>IFERROR(__xludf.DUMMYFUNCTION("""COMPUTED_VALUE"""),"-")</f>
        <v>-</v>
      </c>
      <c r="F156" s="73" t="str">
        <f>IFERROR(__xludf.DUMMYFUNCTION("""COMPUTED_VALUE"""),"-")</f>
        <v>-</v>
      </c>
      <c r="G156" s="73" t="str">
        <f>IFERROR(__xludf.DUMMYFUNCTION("""COMPUTED_VALUE"""),"-")</f>
        <v>-</v>
      </c>
      <c r="H156" s="73" t="str">
        <f>IFERROR(__xludf.DUMMYFUNCTION("""COMPUTED_VALUE"""),"-")</f>
        <v>-</v>
      </c>
      <c r="I156" s="73"/>
    </row>
    <row r="157">
      <c r="A157" s="77" t="str">
        <f>IFERROR(__xludf.DUMMYFUNCTION("""COMPUTED_VALUE"""),"*Фьючерсный контракт на обыкновенные акции ПАО Сбербанк*")</f>
        <v>*Фьючерсный контракт на обыкновенные акции ПАО Сбербанк*</v>
      </c>
      <c r="B157" s="73"/>
      <c r="C157" s="73"/>
      <c r="D157" s="73"/>
      <c r="E157" s="73"/>
      <c r="F157" s="73"/>
      <c r="G157" s="73"/>
      <c r="H157" s="73"/>
      <c r="I157" s="73"/>
    </row>
    <row r="158">
      <c r="A158" s="77" t="str">
        <f>IFERROR(__xludf.DUMMYFUNCTION("""COMPUTED_VALUE"""),"SBRF-12.25")</f>
        <v>SBRF-12.25</v>
      </c>
      <c r="B158" s="73" t="str">
        <f>IFERROR(__xludf.DUMMYFUNCTION("""COMPUTED_VALUE"""),"29 256")</f>
        <v>29 256</v>
      </c>
      <c r="C158" s="73" t="str">
        <f>IFERROR(__xludf.DUMMYFUNCTION("""COMPUTED_VALUE"""),"-0,06%")</f>
        <v>-0,06%</v>
      </c>
      <c r="D158" s="73" t="str">
        <f>IFERROR(__xludf.DUMMYFUNCTION("""COMPUTED_VALUE"""),"29 462")</f>
        <v>29 462</v>
      </c>
      <c r="E158" s="73" t="str">
        <f>IFERROR(__xludf.DUMMYFUNCTION("""COMPUTED_VALUE"""),"29 081")</f>
        <v>29 081</v>
      </c>
      <c r="F158" s="73" t="str">
        <f>IFERROR(__xludf.DUMMYFUNCTION("""COMPUTED_VALUE"""),"112 238")</f>
        <v>112 238</v>
      </c>
      <c r="G158" s="73" t="str">
        <f>IFERROR(__xludf.DUMMYFUNCTION("""COMPUTED_VALUE"""),"30 394")</f>
        <v>30 394</v>
      </c>
      <c r="H158" s="73" t="str">
        <f>IFERROR(__xludf.DUMMYFUNCTION("""COMPUTED_VALUE"""),"258 944")</f>
        <v>258 944</v>
      </c>
      <c r="I158" s="73"/>
    </row>
    <row r="159">
      <c r="A159" s="77" t="str">
        <f>IFERROR(__xludf.DUMMYFUNCTION("""COMPUTED_VALUE"""),"SBRF-3.26")</f>
        <v>SBRF-3.26</v>
      </c>
      <c r="B159" s="73" t="str">
        <f>IFERROR(__xludf.DUMMYFUNCTION("""COMPUTED_VALUE"""),"30 492")</f>
        <v>30 492</v>
      </c>
      <c r="C159" s="73" t="str">
        <f>IFERROR(__xludf.DUMMYFUNCTION("""COMPUTED_VALUE"""),"-%")</f>
        <v>-%</v>
      </c>
      <c r="D159" s="73" t="str">
        <f>IFERROR(__xludf.DUMMYFUNCTION("""COMPUTED_VALUE"""),"30 677")</f>
        <v>30 677</v>
      </c>
      <c r="E159" s="73" t="str">
        <f>IFERROR(__xludf.DUMMYFUNCTION("""COMPUTED_VALUE"""),"30 351")</f>
        <v>30 351</v>
      </c>
      <c r="F159" s="73">
        <f>IFERROR(__xludf.DUMMYFUNCTION("""COMPUTED_VALUE"""),705.0)</f>
        <v>705</v>
      </c>
      <c r="G159" s="73">
        <f>IFERROR(__xludf.DUMMYFUNCTION("""COMPUTED_VALUE"""),489.0)</f>
        <v>489</v>
      </c>
      <c r="H159" s="73" t="str">
        <f>IFERROR(__xludf.DUMMYFUNCTION("""COMPUTED_VALUE"""),"7 070")</f>
        <v>7 070</v>
      </c>
      <c r="I159" s="73"/>
    </row>
    <row r="160">
      <c r="A160" s="77" t="str">
        <f>IFERROR(__xludf.DUMMYFUNCTION("""COMPUTED_VALUE"""),"SBRF-6.26")</f>
        <v>SBRF-6.26</v>
      </c>
      <c r="B160" s="73" t="str">
        <f>IFERROR(__xludf.DUMMYFUNCTION("""COMPUTED_VALUE"""),"31 280")</f>
        <v>31 280</v>
      </c>
      <c r="C160" s="73" t="str">
        <f>IFERROR(__xludf.DUMMYFUNCTION("""COMPUTED_VALUE"""),"-1,32%")</f>
        <v>-1,32%</v>
      </c>
      <c r="D160" s="73" t="str">
        <f>IFERROR(__xludf.DUMMYFUNCTION("""COMPUTED_VALUE"""),"31 644")</f>
        <v>31 644</v>
      </c>
      <c r="E160" s="73" t="str">
        <f>IFERROR(__xludf.DUMMYFUNCTION("""COMPUTED_VALUE"""),"31 280")</f>
        <v>31 280</v>
      </c>
      <c r="F160" s="73">
        <f>IFERROR(__xludf.DUMMYFUNCTION("""COMPUTED_VALUE"""),5.0)</f>
        <v>5</v>
      </c>
      <c r="G160" s="73">
        <f>IFERROR(__xludf.DUMMYFUNCTION("""COMPUTED_VALUE"""),5.0)</f>
        <v>5</v>
      </c>
      <c r="H160" s="73">
        <f>IFERROR(__xludf.DUMMYFUNCTION("""COMPUTED_VALUE"""),440.0)</f>
        <v>440</v>
      </c>
      <c r="I160" s="73"/>
    </row>
    <row r="161">
      <c r="A161" s="77" t="str">
        <f>IFERROR(__xludf.DUMMYFUNCTION("""COMPUTED_VALUE"""),"SBRF-9.26")</f>
        <v>SBRF-9.26</v>
      </c>
      <c r="B161" s="73" t="str">
        <f>IFERROR(__xludf.DUMMYFUNCTION("""COMPUTED_VALUE"""),"30 240")</f>
        <v>30 240</v>
      </c>
      <c r="C161" s="73" t="str">
        <f>IFERROR(__xludf.DUMMYFUNCTION("""COMPUTED_VALUE"""),"-1,20%")</f>
        <v>-1,20%</v>
      </c>
      <c r="D161" s="73" t="str">
        <f>IFERROR(__xludf.DUMMYFUNCTION("""COMPUTED_VALUE"""),"30 500")</f>
        <v>30 500</v>
      </c>
      <c r="E161" s="73" t="str">
        <f>IFERROR(__xludf.DUMMYFUNCTION("""COMPUTED_VALUE"""),"30 238")</f>
        <v>30 238</v>
      </c>
      <c r="F161" s="73">
        <f>IFERROR(__xludf.DUMMYFUNCTION("""COMPUTED_VALUE"""),11.0)</f>
        <v>11</v>
      </c>
      <c r="G161" s="73">
        <f>IFERROR(__xludf.DUMMYFUNCTION("""COMPUTED_VALUE"""),10.0)</f>
        <v>10</v>
      </c>
      <c r="H161" s="73">
        <f>IFERROR(__xludf.DUMMYFUNCTION("""COMPUTED_VALUE"""),296.0)</f>
        <v>296</v>
      </c>
      <c r="I161" s="73"/>
    </row>
    <row r="162">
      <c r="A162" s="77" t="str">
        <f>IFERROR(__xludf.DUMMYFUNCTION("""COMPUTED_VALUE"""),"*Фьючерсный контракт на обыкновенные акции ПАО «Группа компаний «Самолет»*")</f>
        <v>*Фьючерсный контракт на обыкновенные акции ПАО «Группа компаний «Самолет»*</v>
      </c>
      <c r="B162" s="73"/>
      <c r="C162" s="73"/>
      <c r="D162" s="73"/>
      <c r="E162" s="73"/>
      <c r="F162" s="73"/>
      <c r="G162" s="73"/>
      <c r="H162" s="73"/>
      <c r="I162" s="73"/>
    </row>
    <row r="163">
      <c r="A163" s="77" t="str">
        <f>IFERROR(__xludf.DUMMYFUNCTION("""COMPUTED_VALUE"""),"SMLT-12.25")</f>
        <v>SMLT-12.25</v>
      </c>
      <c r="B163" s="73">
        <f>IFERROR(__xludf.DUMMYFUNCTION("""COMPUTED_VALUE"""),913.0)</f>
        <v>913</v>
      </c>
      <c r="C163" s="73" t="str">
        <f>IFERROR(__xludf.DUMMYFUNCTION("""COMPUTED_VALUE"""),"-1,72%")</f>
        <v>-1,72%</v>
      </c>
      <c r="D163" s="73">
        <f>IFERROR(__xludf.DUMMYFUNCTION("""COMPUTED_VALUE"""),930.0)</f>
        <v>930</v>
      </c>
      <c r="E163" s="73">
        <f>IFERROR(__xludf.DUMMYFUNCTION("""COMPUTED_VALUE"""),900.0)</f>
        <v>900</v>
      </c>
      <c r="F163" s="73" t="str">
        <f>IFERROR(__xludf.DUMMYFUNCTION("""COMPUTED_VALUE"""),"96 875")</f>
        <v>96 875</v>
      </c>
      <c r="G163" s="73" t="str">
        <f>IFERROR(__xludf.DUMMYFUNCTION("""COMPUTED_VALUE"""),"2 826")</f>
        <v>2 826</v>
      </c>
      <c r="H163" s="73" t="str">
        <f>IFERROR(__xludf.DUMMYFUNCTION("""COMPUTED_VALUE"""),"543 130")</f>
        <v>543 130</v>
      </c>
      <c r="I163" s="73"/>
    </row>
    <row r="164">
      <c r="A164" s="77" t="str">
        <f>IFERROR(__xludf.DUMMYFUNCTION("""COMPUTED_VALUE"""),"SMLT-3.26")</f>
        <v>SMLT-3.26</v>
      </c>
      <c r="B164" s="73">
        <f>IFERROR(__xludf.DUMMYFUNCTION("""COMPUTED_VALUE"""),952.0)</f>
        <v>952</v>
      </c>
      <c r="C164" s="73" t="str">
        <f>IFERROR(__xludf.DUMMYFUNCTION("""COMPUTED_VALUE"""),"-1,86%")</f>
        <v>-1,86%</v>
      </c>
      <c r="D164" s="73">
        <f>IFERROR(__xludf.DUMMYFUNCTION("""COMPUTED_VALUE"""),974.0)</f>
        <v>974</v>
      </c>
      <c r="E164" s="73">
        <f>IFERROR(__xludf.DUMMYFUNCTION("""COMPUTED_VALUE"""),944.0)</f>
        <v>944</v>
      </c>
      <c r="F164" s="73">
        <f>IFERROR(__xludf.DUMMYFUNCTION("""COMPUTED_VALUE"""),778.0)</f>
        <v>778</v>
      </c>
      <c r="G164" s="73">
        <f>IFERROR(__xludf.DUMMYFUNCTION("""COMPUTED_VALUE"""),361.0)</f>
        <v>361</v>
      </c>
      <c r="H164" s="73" t="str">
        <f>IFERROR(__xludf.DUMMYFUNCTION("""COMPUTED_VALUE"""),"24 802")</f>
        <v>24 802</v>
      </c>
      <c r="I164" s="73"/>
    </row>
    <row r="165">
      <c r="A165" s="77" t="str">
        <f>IFERROR(__xludf.DUMMYFUNCTION("""COMPUTED_VALUE"""),"*Фьючерсный контракт на обыкновенные акции ПАО ""Совкомбанк""*")</f>
        <v>*Фьючерсный контракт на обыкновенные акции ПАО "Совкомбанк"*</v>
      </c>
      <c r="B165" s="73"/>
      <c r="C165" s="73"/>
      <c r="D165" s="73"/>
      <c r="E165" s="73"/>
      <c r="F165" s="73"/>
      <c r="G165" s="73"/>
      <c r="H165" s="73"/>
      <c r="I165" s="73"/>
    </row>
    <row r="166">
      <c r="A166" s="77" t="str">
        <f>IFERROR(__xludf.DUMMYFUNCTION("""COMPUTED_VALUE"""),"SVCB-12.25")</f>
        <v>SVCB-12.25</v>
      </c>
      <c r="B166" s="73" t="str">
        <f>IFERROR(__xludf.DUMMYFUNCTION("""COMPUTED_VALUE"""),"1 233")</f>
        <v>1 233</v>
      </c>
      <c r="C166" s="73" t="str">
        <f>IFERROR(__xludf.DUMMYFUNCTION("""COMPUTED_VALUE"""),"-0,40%")</f>
        <v>-0,40%</v>
      </c>
      <c r="D166" s="73" t="str">
        <f>IFERROR(__xludf.DUMMYFUNCTION("""COMPUTED_VALUE"""),"1 254")</f>
        <v>1 254</v>
      </c>
      <c r="E166" s="73" t="str">
        <f>IFERROR(__xludf.DUMMYFUNCTION("""COMPUTED_VALUE"""),"1 210")</f>
        <v>1 210</v>
      </c>
      <c r="F166" s="73" t="str">
        <f>IFERROR(__xludf.DUMMYFUNCTION("""COMPUTED_VALUE"""),"45 977")</f>
        <v>45 977</v>
      </c>
      <c r="G166" s="73" t="str">
        <f>IFERROR(__xludf.DUMMYFUNCTION("""COMPUTED_VALUE"""),"1 330")</f>
        <v>1 330</v>
      </c>
      <c r="H166" s="73" t="str">
        <f>IFERROR(__xludf.DUMMYFUNCTION("""COMPUTED_VALUE"""),"416 896")</f>
        <v>416 896</v>
      </c>
      <c r="I166" s="73"/>
    </row>
    <row r="167">
      <c r="A167" s="77" t="str">
        <f>IFERROR(__xludf.DUMMYFUNCTION("""COMPUTED_VALUE"""),"SVCB-3.26")</f>
        <v>SVCB-3.26</v>
      </c>
      <c r="B167" s="73" t="str">
        <f>IFERROR(__xludf.DUMMYFUNCTION("""COMPUTED_VALUE"""),"1 289")</f>
        <v>1 289</v>
      </c>
      <c r="C167" s="73" t="str">
        <f>IFERROR(__xludf.DUMMYFUNCTION("""COMPUTED_VALUE"""),"-0,39%")</f>
        <v>-0,39%</v>
      </c>
      <c r="D167" s="73" t="str">
        <f>IFERROR(__xludf.DUMMYFUNCTION("""COMPUTED_VALUE"""),"1 309")</f>
        <v>1 309</v>
      </c>
      <c r="E167" s="73" t="str">
        <f>IFERROR(__xludf.DUMMYFUNCTION("""COMPUTED_VALUE"""),"1 268")</f>
        <v>1 268</v>
      </c>
      <c r="F167" s="73" t="str">
        <f>IFERROR(__xludf.DUMMYFUNCTION("""COMPUTED_VALUE"""),"1 169")</f>
        <v>1 169</v>
      </c>
      <c r="G167" s="73">
        <f>IFERROR(__xludf.DUMMYFUNCTION("""COMPUTED_VALUE"""),146.0)</f>
        <v>146</v>
      </c>
      <c r="H167" s="73" t="str">
        <f>IFERROR(__xludf.DUMMYFUNCTION("""COMPUTED_VALUE"""),"32 604")</f>
        <v>32 604</v>
      </c>
      <c r="I167" s="73"/>
    </row>
    <row r="168">
      <c r="A168" s="77" t="str">
        <f>IFERROR(__xludf.DUMMYFUNCTION("""COMPUTED_VALUE"""),"*Фьючерсный контракт на обыкновенные акции МКПАО ""Т-Технологии""*")</f>
        <v>*Фьючерсный контракт на обыкновенные акции МКПАО "Т-Технологии"*</v>
      </c>
      <c r="B168" s="73"/>
      <c r="C168" s="73"/>
      <c r="D168" s="73"/>
      <c r="E168" s="73"/>
      <c r="F168" s="73"/>
      <c r="G168" s="73"/>
      <c r="H168" s="73"/>
      <c r="I168" s="73"/>
    </row>
    <row r="169">
      <c r="A169" s="77" t="str">
        <f>IFERROR(__xludf.DUMMYFUNCTION("""COMPUTED_VALUE"""),"T-12.25")</f>
        <v>T-12.25</v>
      </c>
      <c r="B169" s="73" t="str">
        <f>IFERROR(__xludf.DUMMYFUNCTION("""COMPUTED_VALUE"""),"2 995")</f>
        <v>2 995</v>
      </c>
      <c r="C169" s="73" t="str">
        <f>IFERROR(__xludf.DUMMYFUNCTION("""COMPUTED_VALUE"""),"-0,33%")</f>
        <v>-0,33%</v>
      </c>
      <c r="D169" s="73" t="str">
        <f>IFERROR(__xludf.DUMMYFUNCTION("""COMPUTED_VALUE"""),"3 029")</f>
        <v>3 029</v>
      </c>
      <c r="E169" s="73" t="str">
        <f>IFERROR(__xludf.DUMMYFUNCTION("""COMPUTED_VALUE"""),"2 982")</f>
        <v>2 982</v>
      </c>
      <c r="F169" s="73" t="str">
        <f>IFERROR(__xludf.DUMMYFUNCTION("""COMPUTED_VALUE"""),"56 813")</f>
        <v>56 813</v>
      </c>
      <c r="G169" s="73" t="str">
        <f>IFERROR(__xludf.DUMMYFUNCTION("""COMPUTED_VALUE"""),"2 773")</f>
        <v>2 773</v>
      </c>
      <c r="H169" s="73" t="str">
        <f>IFERROR(__xludf.DUMMYFUNCTION("""COMPUTED_VALUE"""),"395 670")</f>
        <v>395 670</v>
      </c>
      <c r="I169" s="73"/>
    </row>
    <row r="170">
      <c r="A170" s="77" t="str">
        <f>IFERROR(__xludf.DUMMYFUNCTION("""COMPUTED_VALUE"""),"T-3.26")</f>
        <v>T-3.26</v>
      </c>
      <c r="B170" s="73" t="str">
        <f>IFERROR(__xludf.DUMMYFUNCTION("""COMPUTED_VALUE"""),"3 115")</f>
        <v>3 115</v>
      </c>
      <c r="C170" s="73" t="str">
        <f>IFERROR(__xludf.DUMMYFUNCTION("""COMPUTED_VALUE"""),"+0,10%")</f>
        <v>+0,10%</v>
      </c>
      <c r="D170" s="73" t="str">
        <f>IFERROR(__xludf.DUMMYFUNCTION("""COMPUTED_VALUE"""),"3 139")</f>
        <v>3 139</v>
      </c>
      <c r="E170" s="73" t="str">
        <f>IFERROR(__xludf.DUMMYFUNCTION("""COMPUTED_VALUE"""),"3 100")</f>
        <v>3 100</v>
      </c>
      <c r="F170" s="73">
        <f>IFERROR(__xludf.DUMMYFUNCTION("""COMPUTED_VALUE"""),56.0)</f>
        <v>56</v>
      </c>
      <c r="G170" s="73">
        <f>IFERROR(__xludf.DUMMYFUNCTION("""COMPUTED_VALUE"""),25.0)</f>
        <v>25</v>
      </c>
      <c r="H170" s="73" t="str">
        <f>IFERROR(__xludf.DUMMYFUNCTION("""COMPUTED_VALUE"""),"1 444")</f>
        <v>1 444</v>
      </c>
      <c r="I170" s="73"/>
    </row>
    <row r="171">
      <c r="A171" s="77" t="str">
        <f>IFERROR(__xludf.DUMMYFUNCTION("""COMPUTED_VALUE"""),"*Фьючерсный контракт на привилегированные акции ПАО «Татнефть» им. В.Д. 
Шашина*")</f>
        <v>*Фьючерсный контракт на привилегированные акции ПАО «Татнефть» им. В.Д. 
Шашина*</v>
      </c>
      <c r="B171" s="73"/>
      <c r="C171" s="73"/>
      <c r="D171" s="73"/>
      <c r="E171" s="73"/>
      <c r="F171" s="73"/>
      <c r="G171" s="73"/>
      <c r="H171" s="73"/>
      <c r="I171" s="73"/>
    </row>
    <row r="172">
      <c r="A172" s="77" t="str">
        <f>IFERROR(__xludf.DUMMYFUNCTION("""COMPUTED_VALUE"""),"TATP-12.25")</f>
        <v>TATP-12.25</v>
      </c>
      <c r="B172" s="73" t="str">
        <f>IFERROR(__xludf.DUMMYFUNCTION("""COMPUTED_VALUE"""),"5 250")</f>
        <v>5 250</v>
      </c>
      <c r="C172" s="73" t="str">
        <f>IFERROR(__xludf.DUMMYFUNCTION("""COMPUTED_VALUE"""),"-3,76%")</f>
        <v>-3,76%</v>
      </c>
      <c r="D172" s="73" t="str">
        <f>IFERROR(__xludf.DUMMYFUNCTION("""COMPUTED_VALUE"""),"5 452")</f>
        <v>5 452</v>
      </c>
      <c r="E172" s="73" t="str">
        <f>IFERROR(__xludf.DUMMYFUNCTION("""COMPUTED_VALUE"""),"5 235")</f>
        <v>5 235</v>
      </c>
      <c r="F172" s="73" t="str">
        <f>IFERROR(__xludf.DUMMYFUNCTION("""COMPUTED_VALUE"""),"2 315")</f>
        <v>2 315</v>
      </c>
      <c r="G172" s="73">
        <f>IFERROR(__xludf.DUMMYFUNCTION("""COMPUTED_VALUE"""),578.0)</f>
        <v>578</v>
      </c>
      <c r="H172" s="73" t="str">
        <f>IFERROR(__xludf.DUMMYFUNCTION("""COMPUTED_VALUE"""),"6 124")</f>
        <v>6 124</v>
      </c>
      <c r="I172" s="73"/>
    </row>
    <row r="173">
      <c r="A173" s="77" t="str">
        <f>IFERROR(__xludf.DUMMYFUNCTION("""COMPUTED_VALUE"""),"TATP-3.26")</f>
        <v>TATP-3.26</v>
      </c>
      <c r="B173" s="73" t="str">
        <f>IFERROR(__xludf.DUMMYFUNCTION("""COMPUTED_VALUE"""),"5 365")</f>
        <v>5 365</v>
      </c>
      <c r="C173" s="73" t="str">
        <f>IFERROR(__xludf.DUMMYFUNCTION("""COMPUTED_VALUE"""),"-3,89%")</f>
        <v>-3,89%</v>
      </c>
      <c r="D173" s="73" t="str">
        <f>IFERROR(__xludf.DUMMYFUNCTION("""COMPUTED_VALUE"""),"5 562")</f>
        <v>5 562</v>
      </c>
      <c r="E173" s="73" t="str">
        <f>IFERROR(__xludf.DUMMYFUNCTION("""COMPUTED_VALUE"""),"5 365")</f>
        <v>5 365</v>
      </c>
      <c r="F173" s="73">
        <f>IFERROR(__xludf.DUMMYFUNCTION("""COMPUTED_VALUE"""),35.0)</f>
        <v>35</v>
      </c>
      <c r="G173" s="73">
        <f>IFERROR(__xludf.DUMMYFUNCTION("""COMPUTED_VALUE"""),23.0)</f>
        <v>23</v>
      </c>
      <c r="H173" s="73">
        <f>IFERROR(__xludf.DUMMYFUNCTION("""COMPUTED_VALUE"""),254.0)</f>
        <v>254</v>
      </c>
      <c r="I173" s="73"/>
    </row>
    <row r="174">
      <c r="A174" s="77" t="str">
        <f>IFERROR(__xludf.DUMMYFUNCTION("""COMPUTED_VALUE"""),"*Фьючерсный контракт на акции Тенсент Холдингс Лимитед*")</f>
        <v>*Фьючерсный контракт на акции Тенсент Холдингс Лимитед*</v>
      </c>
      <c r="B174" s="73"/>
      <c r="C174" s="73"/>
      <c r="D174" s="73"/>
      <c r="E174" s="73"/>
      <c r="F174" s="73"/>
      <c r="G174" s="73"/>
      <c r="H174" s="73"/>
      <c r="I174" s="73"/>
    </row>
    <row r="175">
      <c r="A175" s="77" t="str">
        <f>IFERROR(__xludf.DUMMYFUNCTION("""COMPUTED_VALUE"""),"TENCENT-12.25")</f>
        <v>TENCENT-12.25</v>
      </c>
      <c r="B175" s="73" t="str">
        <f>IFERROR(__xludf.DUMMYFUNCTION("""COMPUTED_VALUE"""),"636,6")</f>
        <v>636,6</v>
      </c>
      <c r="C175" s="73" t="str">
        <f>IFERROR(__xludf.DUMMYFUNCTION("""COMPUTED_VALUE"""),"+1,19%")</f>
        <v>+1,19%</v>
      </c>
      <c r="D175" s="73" t="str">
        <f>IFERROR(__xludf.DUMMYFUNCTION("""COMPUTED_VALUE"""),"636,6")</f>
        <v>636,6</v>
      </c>
      <c r="E175" s="73" t="str">
        <f>IFERROR(__xludf.DUMMYFUNCTION("""COMPUTED_VALUE"""),"624,5")</f>
        <v>624,5</v>
      </c>
      <c r="F175" s="73">
        <f>IFERROR(__xludf.DUMMYFUNCTION("""COMPUTED_VALUE"""),7.0)</f>
        <v>7</v>
      </c>
      <c r="G175" s="73">
        <f>IFERROR(__xludf.DUMMYFUNCTION("""COMPUTED_VALUE"""),4.0)</f>
        <v>4</v>
      </c>
      <c r="H175" s="73">
        <f>IFERROR(__xludf.DUMMYFUNCTION("""COMPUTED_VALUE"""),56.0)</f>
        <v>56</v>
      </c>
      <c r="I175" s="73"/>
    </row>
    <row r="176">
      <c r="A176" s="77" t="str">
        <f>IFERROR(__xludf.DUMMYFUNCTION("""COMPUTED_VALUE"""),"TENCENT-3.26")</f>
        <v>TENCENT-3.26</v>
      </c>
      <c r="B176" s="73" t="str">
        <f>IFERROR(__xludf.DUMMYFUNCTION("""COMPUTED_VALUE"""),"-")</f>
        <v>-</v>
      </c>
      <c r="C176" s="73" t="str">
        <f>IFERROR(__xludf.DUMMYFUNCTION("""COMPUTED_VALUE"""),"-")</f>
        <v>-</v>
      </c>
      <c r="D176" s="73" t="str">
        <f>IFERROR(__xludf.DUMMYFUNCTION("""COMPUTED_VALUE"""),"-")</f>
        <v>-</v>
      </c>
      <c r="E176" s="73" t="str">
        <f>IFERROR(__xludf.DUMMYFUNCTION("""COMPUTED_VALUE"""),"-")</f>
        <v>-</v>
      </c>
      <c r="F176" s="73" t="str">
        <f>IFERROR(__xludf.DUMMYFUNCTION("""COMPUTED_VALUE"""),"-")</f>
        <v>-</v>
      </c>
      <c r="G176" s="73" t="str">
        <f>IFERROR(__xludf.DUMMYFUNCTION("""COMPUTED_VALUE"""),"-")</f>
        <v>-</v>
      </c>
      <c r="H176" s="73">
        <f>IFERROR(__xludf.DUMMYFUNCTION("""COMPUTED_VALUE"""),12.0)</f>
        <v>12</v>
      </c>
      <c r="I176" s="73"/>
    </row>
    <row r="177">
      <c r="A177" s="77" t="str">
        <f>IFERROR(__xludf.DUMMYFUNCTION("""COMPUTED_VALUE"""),"*Фьючерсный контракт на привилегированные акции ПАО «Транснефть»*")</f>
        <v>*Фьючерсный контракт на привилегированные акции ПАО «Транснефть»*</v>
      </c>
      <c r="B177" s="73"/>
      <c r="C177" s="73"/>
      <c r="D177" s="73"/>
      <c r="E177" s="73"/>
      <c r="F177" s="73"/>
      <c r="G177" s="73"/>
      <c r="H177" s="73"/>
      <c r="I177" s="73"/>
    </row>
    <row r="178">
      <c r="A178" s="77" t="str">
        <f>IFERROR(__xludf.DUMMYFUNCTION("""COMPUTED_VALUE"""),"TRNF-12.25")</f>
        <v>TRNF-12.25</v>
      </c>
      <c r="B178" s="73" t="str">
        <f>IFERROR(__xludf.DUMMYFUNCTION("""COMPUTED_VALUE"""),"1 269")</f>
        <v>1 269</v>
      </c>
      <c r="C178" s="73" t="str">
        <f>IFERROR(__xludf.DUMMYFUNCTION("""COMPUTED_VALUE"""),"+0,95%")</f>
        <v>+0,95%</v>
      </c>
      <c r="D178" s="73" t="str">
        <f>IFERROR(__xludf.DUMMYFUNCTION("""COMPUTED_VALUE"""),"1 276")</f>
        <v>1 276</v>
      </c>
      <c r="E178" s="73" t="str">
        <f>IFERROR(__xludf.DUMMYFUNCTION("""COMPUTED_VALUE"""),"1 248")</f>
        <v>1 248</v>
      </c>
      <c r="F178" s="73" t="str">
        <f>IFERROR(__xludf.DUMMYFUNCTION("""COMPUTED_VALUE"""),"23 032")</f>
        <v>23 032</v>
      </c>
      <c r="G178" s="73" t="str">
        <f>IFERROR(__xludf.DUMMYFUNCTION("""COMPUTED_VALUE"""),"1 008")</f>
        <v>1 008</v>
      </c>
      <c r="H178" s="73" t="str">
        <f>IFERROR(__xludf.DUMMYFUNCTION("""COMPUTED_VALUE"""),"215 056")</f>
        <v>215 056</v>
      </c>
      <c r="I178" s="73"/>
    </row>
    <row r="179">
      <c r="A179" s="77" t="str">
        <f>IFERROR(__xludf.DUMMYFUNCTION("""COMPUTED_VALUE"""),"TRNF-3.26")</f>
        <v>TRNF-3.26</v>
      </c>
      <c r="B179" s="73" t="str">
        <f>IFERROR(__xludf.DUMMYFUNCTION("""COMPUTED_VALUE"""),"1 295")</f>
        <v>1 295</v>
      </c>
      <c r="C179" s="73" t="str">
        <f>IFERROR(__xludf.DUMMYFUNCTION("""COMPUTED_VALUE"""),"+1,01%")</f>
        <v>+1,01%</v>
      </c>
      <c r="D179" s="73" t="str">
        <f>IFERROR(__xludf.DUMMYFUNCTION("""COMPUTED_VALUE"""),"1 295")</f>
        <v>1 295</v>
      </c>
      <c r="E179" s="73" t="str">
        <f>IFERROR(__xludf.DUMMYFUNCTION("""COMPUTED_VALUE"""),"1 280")</f>
        <v>1 280</v>
      </c>
      <c r="F179" s="73">
        <f>IFERROR(__xludf.DUMMYFUNCTION("""COMPUTED_VALUE"""),38.0)</f>
        <v>38</v>
      </c>
      <c r="G179" s="73">
        <f>IFERROR(__xludf.DUMMYFUNCTION("""COMPUTED_VALUE"""),17.0)</f>
        <v>17</v>
      </c>
      <c r="H179" s="73" t="str">
        <f>IFERROR(__xludf.DUMMYFUNCTION("""COMPUTED_VALUE"""),"3 558")</f>
        <v>3 558</v>
      </c>
      <c r="I179" s="73"/>
    </row>
    <row r="180">
      <c r="A180" s="77" t="str">
        <f>IFERROR(__xludf.DUMMYFUNCTION("""COMPUTED_VALUE"""),"*Фьючерсный контракт на обыкновенные акции ПАО «Татнефть» им. В.Д. Шашина*")</f>
        <v>*Фьючерсный контракт на обыкновенные акции ПАО «Татнефть» им. В.Д. Шашина*</v>
      </c>
      <c r="B180" s="73"/>
      <c r="C180" s="73"/>
      <c r="D180" s="73"/>
      <c r="E180" s="73"/>
      <c r="F180" s="73"/>
      <c r="G180" s="73"/>
      <c r="H180" s="73"/>
      <c r="I180" s="73"/>
    </row>
    <row r="181">
      <c r="A181" s="77" t="str">
        <f>IFERROR(__xludf.DUMMYFUNCTION("""COMPUTED_VALUE"""),"TATN-12.25")</f>
        <v>TATN-12.25</v>
      </c>
      <c r="B181" s="73" t="str">
        <f>IFERROR(__xludf.DUMMYFUNCTION("""COMPUTED_VALUE"""),"55 981")</f>
        <v>55 981</v>
      </c>
      <c r="C181" s="73" t="str">
        <f>IFERROR(__xludf.DUMMYFUNCTION("""COMPUTED_VALUE"""),"-3,28%")</f>
        <v>-3,28%</v>
      </c>
      <c r="D181" s="73" t="str">
        <f>IFERROR(__xludf.DUMMYFUNCTION("""COMPUTED_VALUE"""),"57 818")</f>
        <v>57 818</v>
      </c>
      <c r="E181" s="73" t="str">
        <f>IFERROR(__xludf.DUMMYFUNCTION("""COMPUTED_VALUE"""),"55 887")</f>
        <v>55 887</v>
      </c>
      <c r="F181" s="73" t="str">
        <f>IFERROR(__xludf.DUMMYFUNCTION("""COMPUTED_VALUE"""),"2 345")</f>
        <v>2 345</v>
      </c>
      <c r="G181" s="73" t="str">
        <f>IFERROR(__xludf.DUMMYFUNCTION("""COMPUTED_VALUE"""),"1 233")</f>
        <v>1 233</v>
      </c>
      <c r="H181" s="73" t="str">
        <f>IFERROR(__xludf.DUMMYFUNCTION("""COMPUTED_VALUE"""),"17 496")</f>
        <v>17 496</v>
      </c>
      <c r="I181" s="73"/>
    </row>
    <row r="182">
      <c r="A182" s="77" t="str">
        <f>IFERROR(__xludf.DUMMYFUNCTION("""COMPUTED_VALUE"""),"TATN-3.26")</f>
        <v>TATN-3.26</v>
      </c>
      <c r="B182" s="73" t="str">
        <f>IFERROR(__xludf.DUMMYFUNCTION("""COMPUTED_VALUE"""),"57 875")</f>
        <v>57 875</v>
      </c>
      <c r="C182" s="73" t="str">
        <f>IFERROR(__xludf.DUMMYFUNCTION("""COMPUTED_VALUE"""),"-1,91%")</f>
        <v>-1,91%</v>
      </c>
      <c r="D182" s="73" t="str">
        <f>IFERROR(__xludf.DUMMYFUNCTION("""COMPUTED_VALUE"""),"58 709")</f>
        <v>58 709</v>
      </c>
      <c r="E182" s="73" t="str">
        <f>IFERROR(__xludf.DUMMYFUNCTION("""COMPUTED_VALUE"""),"57 514")</f>
        <v>57 514</v>
      </c>
      <c r="F182" s="73">
        <f>IFERROR(__xludf.DUMMYFUNCTION("""COMPUTED_VALUE"""),6.0)</f>
        <v>6</v>
      </c>
      <c r="G182" s="73">
        <f>IFERROR(__xludf.DUMMYFUNCTION("""COMPUTED_VALUE"""),5.0)</f>
        <v>5</v>
      </c>
      <c r="H182" s="73">
        <f>IFERROR(__xludf.DUMMYFUNCTION("""COMPUTED_VALUE"""),22.0)</f>
        <v>22</v>
      </c>
      <c r="I182" s="73"/>
    </row>
    <row r="183">
      <c r="A183" s="77" t="str">
        <f>IFERROR(__xludf.DUMMYFUNCTION("""COMPUTED_VALUE"""),"*Фьючерсный контракт на обыкновенные акции ПАО «Юнипро»*")</f>
        <v>*Фьючерсный контракт на обыкновенные акции ПАО «Юнипро»*</v>
      </c>
      <c r="B183" s="73"/>
      <c r="C183" s="73"/>
      <c r="D183" s="73"/>
      <c r="E183" s="73"/>
      <c r="F183" s="73"/>
      <c r="G183" s="73"/>
      <c r="H183" s="73"/>
      <c r="I183" s="73"/>
    </row>
    <row r="184">
      <c r="A184" s="77" t="str">
        <f>IFERROR(__xludf.DUMMYFUNCTION("""COMPUTED_VALUE"""),"UPRO-12.25")</f>
        <v>UPRO-12.25</v>
      </c>
      <c r="B184" s="73" t="str">
        <f>IFERROR(__xludf.DUMMYFUNCTION("""COMPUTED_VALUE"""),"14 010")</f>
        <v>14 010</v>
      </c>
      <c r="C184" s="73" t="str">
        <f>IFERROR(__xludf.DUMMYFUNCTION("""COMPUTED_VALUE"""),"+0,21%")</f>
        <v>+0,21%</v>
      </c>
      <c r="D184" s="73" t="str">
        <f>IFERROR(__xludf.DUMMYFUNCTION("""COMPUTED_VALUE"""),"14 121")</f>
        <v>14 121</v>
      </c>
      <c r="E184" s="73" t="str">
        <f>IFERROR(__xludf.DUMMYFUNCTION("""COMPUTED_VALUE"""),"13 853")</f>
        <v>13 853</v>
      </c>
      <c r="F184" s="73">
        <f>IFERROR(__xludf.DUMMYFUNCTION("""COMPUTED_VALUE"""),181.0)</f>
        <v>181</v>
      </c>
      <c r="G184" s="73">
        <f>IFERROR(__xludf.DUMMYFUNCTION("""COMPUTED_VALUE"""),62.0)</f>
        <v>62</v>
      </c>
      <c r="H184" s="73" t="str">
        <f>IFERROR(__xludf.DUMMYFUNCTION("""COMPUTED_VALUE"""),"2 436")</f>
        <v>2 436</v>
      </c>
      <c r="I184" s="73"/>
    </row>
    <row r="185">
      <c r="A185" s="77" t="str">
        <f>IFERROR(__xludf.DUMMYFUNCTION("""COMPUTED_VALUE"""),"UPRO-3.26")</f>
        <v>UPRO-3.26</v>
      </c>
      <c r="B185" s="73" t="str">
        <f>IFERROR(__xludf.DUMMYFUNCTION("""COMPUTED_VALUE"""),"14 650")</f>
        <v>14 650</v>
      </c>
      <c r="C185" s="73" t="str">
        <f>IFERROR(__xludf.DUMMYFUNCTION("""COMPUTED_VALUE"""),"+0,21%")</f>
        <v>+0,21%</v>
      </c>
      <c r="D185" s="73" t="str">
        <f>IFERROR(__xludf.DUMMYFUNCTION("""COMPUTED_VALUE"""),"14 650")</f>
        <v>14 650</v>
      </c>
      <c r="E185" s="73" t="str">
        <f>IFERROR(__xludf.DUMMYFUNCTION("""COMPUTED_VALUE"""),"14 540")</f>
        <v>14 540</v>
      </c>
      <c r="F185" s="73">
        <f>IFERROR(__xludf.DUMMYFUNCTION("""COMPUTED_VALUE"""),7.0)</f>
        <v>7</v>
      </c>
      <c r="G185" s="73">
        <f>IFERROR(__xludf.DUMMYFUNCTION("""COMPUTED_VALUE"""),4.0)</f>
        <v>4</v>
      </c>
      <c r="H185" s="73">
        <f>IFERROR(__xludf.DUMMYFUNCTION("""COMPUTED_VALUE"""),260.0)</f>
        <v>260</v>
      </c>
      <c r="I185" s="73"/>
    </row>
    <row r="186">
      <c r="A186" s="77" t="str">
        <f>IFERROR(__xludf.DUMMYFUNCTION("""COMPUTED_VALUE"""),"*Фьючерсный контракт на обыкновенные акции Банк ВТБ*")</f>
        <v>*Фьючерсный контракт на обыкновенные акции Банк ВТБ*</v>
      </c>
      <c r="B186" s="73"/>
      <c r="C186" s="73"/>
      <c r="D186" s="73"/>
      <c r="E186" s="73"/>
      <c r="F186" s="73"/>
      <c r="G186" s="73"/>
      <c r="H186" s="73"/>
      <c r="I186" s="73"/>
    </row>
    <row r="187">
      <c r="A187" s="77" t="str">
        <f>IFERROR(__xludf.DUMMYFUNCTION("""COMPUTED_VALUE"""),"VTBR-12.25")</f>
        <v>VTBR-12.25</v>
      </c>
      <c r="B187" s="73" t="str">
        <f>IFERROR(__xludf.DUMMYFUNCTION("""COMPUTED_VALUE"""),"6 968")</f>
        <v>6 968</v>
      </c>
      <c r="C187" s="73" t="str">
        <f>IFERROR(__xludf.DUMMYFUNCTION("""COMPUTED_VALUE"""),"+0,19%")</f>
        <v>+0,19%</v>
      </c>
      <c r="D187" s="73" t="str">
        <f>IFERROR(__xludf.DUMMYFUNCTION("""COMPUTED_VALUE"""),"7 038")</f>
        <v>7 038</v>
      </c>
      <c r="E187" s="73" t="str">
        <f>IFERROR(__xludf.DUMMYFUNCTION("""COMPUTED_VALUE"""),"6 902")</f>
        <v>6 902</v>
      </c>
      <c r="F187" s="73" t="str">
        <f>IFERROR(__xludf.DUMMYFUNCTION("""COMPUTED_VALUE"""),"147 353")</f>
        <v>147 353</v>
      </c>
      <c r="G187" s="73" t="str">
        <f>IFERROR(__xludf.DUMMYFUNCTION("""COMPUTED_VALUE"""),"16 210")</f>
        <v>16 210</v>
      </c>
      <c r="H187" s="73" t="str">
        <f>IFERROR(__xludf.DUMMYFUNCTION("""COMPUTED_VALUE"""),"1 506 444")</f>
        <v>1 506 444</v>
      </c>
      <c r="I187" s="73"/>
    </row>
    <row r="188">
      <c r="A188" s="77" t="str">
        <f>IFERROR(__xludf.DUMMYFUNCTION("""COMPUTED_VALUE"""),"VTBR-3.26")</f>
        <v>VTBR-3.26</v>
      </c>
      <c r="B188" s="73" t="str">
        <f>IFERROR(__xludf.DUMMYFUNCTION("""COMPUTED_VALUE"""),"7 260")</f>
        <v>7 260</v>
      </c>
      <c r="C188" s="73" t="str">
        <f>IFERROR(__xludf.DUMMYFUNCTION("""COMPUTED_VALUE"""),"+0,11%")</f>
        <v>+0,11%</v>
      </c>
      <c r="D188" s="73" t="str">
        <f>IFERROR(__xludf.DUMMYFUNCTION("""COMPUTED_VALUE"""),"7 325")</f>
        <v>7 325</v>
      </c>
      <c r="E188" s="73" t="str">
        <f>IFERROR(__xludf.DUMMYFUNCTION("""COMPUTED_VALUE"""),"7 208")</f>
        <v>7 208</v>
      </c>
      <c r="F188" s="73" t="str">
        <f>IFERROR(__xludf.DUMMYFUNCTION("""COMPUTED_VALUE"""),"9 325")</f>
        <v>9 325</v>
      </c>
      <c r="G188" s="73" t="str">
        <f>IFERROR(__xludf.DUMMYFUNCTION("""COMPUTED_VALUE"""),"1 586")</f>
        <v>1 586</v>
      </c>
      <c r="H188" s="73" t="str">
        <f>IFERROR(__xludf.DUMMYFUNCTION("""COMPUTED_VALUE"""),"22 980")</f>
        <v>22 980</v>
      </c>
      <c r="I188" s="73"/>
    </row>
    <row r="189">
      <c r="A189" s="77" t="str">
        <f>IFERROR(__xludf.DUMMYFUNCTION("""COMPUTED_VALUE"""),"*Фьючерсный контракт на обыкновенные акции МКПАО «ВК»*")</f>
        <v>*Фьючерсный контракт на обыкновенные акции МКПАО «ВК»*</v>
      </c>
      <c r="B189" s="73"/>
      <c r="C189" s="73"/>
      <c r="D189" s="73"/>
      <c r="E189" s="73"/>
      <c r="F189" s="73"/>
      <c r="G189" s="73"/>
      <c r="H189" s="73"/>
      <c r="I189" s="73"/>
    </row>
    <row r="190">
      <c r="A190" s="77" t="str">
        <f>IFERROR(__xludf.DUMMYFUNCTION("""COMPUTED_VALUE"""),"VKCO-12.25")</f>
        <v>VKCO-12.25</v>
      </c>
      <c r="B190" s="73" t="str">
        <f>IFERROR(__xludf.DUMMYFUNCTION("""COMPUTED_VALUE"""),"2 570")</f>
        <v>2 570</v>
      </c>
      <c r="C190" s="73" t="str">
        <f>IFERROR(__xludf.DUMMYFUNCTION("""COMPUTED_VALUE"""),"-2,47%")</f>
        <v>-2,47%</v>
      </c>
      <c r="D190" s="73" t="str">
        <f>IFERROR(__xludf.DUMMYFUNCTION("""COMPUTED_VALUE"""),"2 652")</f>
        <v>2 652</v>
      </c>
      <c r="E190" s="73" t="str">
        <f>IFERROR(__xludf.DUMMYFUNCTION("""COMPUTED_VALUE"""),"2 561")</f>
        <v>2 561</v>
      </c>
      <c r="F190" s="73" t="str">
        <f>IFERROR(__xludf.DUMMYFUNCTION("""COMPUTED_VALUE"""),"11 676")</f>
        <v>11 676</v>
      </c>
      <c r="G190" s="73" t="str">
        <f>IFERROR(__xludf.DUMMYFUNCTION("""COMPUTED_VALUE"""),"1 169")</f>
        <v>1 169</v>
      </c>
      <c r="H190" s="73" t="str">
        <f>IFERROR(__xludf.DUMMYFUNCTION("""COMPUTED_VALUE"""),"95 126")</f>
        <v>95 126</v>
      </c>
      <c r="I190" s="73"/>
    </row>
    <row r="191">
      <c r="A191" s="77" t="str">
        <f>IFERROR(__xludf.DUMMYFUNCTION("""COMPUTED_VALUE"""),"VKCO-3.26")</f>
        <v>VKCO-3.26</v>
      </c>
      <c r="B191" s="73" t="str">
        <f>IFERROR(__xludf.DUMMYFUNCTION("""COMPUTED_VALUE"""),"2 706")</f>
        <v>2 706</v>
      </c>
      <c r="C191" s="73" t="str">
        <f>IFERROR(__xludf.DUMMYFUNCTION("""COMPUTED_VALUE"""),"-1,24%")</f>
        <v>-1,24%</v>
      </c>
      <c r="D191" s="73" t="str">
        <f>IFERROR(__xludf.DUMMYFUNCTION("""COMPUTED_VALUE"""),"2 760")</f>
        <v>2 760</v>
      </c>
      <c r="E191" s="73" t="str">
        <f>IFERROR(__xludf.DUMMYFUNCTION("""COMPUTED_VALUE"""),"2 702")</f>
        <v>2 702</v>
      </c>
      <c r="F191" s="73">
        <f>IFERROR(__xludf.DUMMYFUNCTION("""COMPUTED_VALUE"""),781.0)</f>
        <v>781</v>
      </c>
      <c r="G191" s="73">
        <f>IFERROR(__xludf.DUMMYFUNCTION("""COMPUTED_VALUE"""),126.0)</f>
        <v>126</v>
      </c>
      <c r="H191" s="73" t="str">
        <f>IFERROR(__xludf.DUMMYFUNCTION("""COMPUTED_VALUE"""),"4 070")</f>
        <v>4 070</v>
      </c>
      <c r="I191" s="73"/>
    </row>
    <row r="192">
      <c r="A192" s="77" t="str">
        <f>IFERROR(__xludf.DUMMYFUNCTION("""COMPUTED_VALUE"""),"*Фьючерсный контракт на обыкновенные акции ПАО ""ВУШ Холдинг""*")</f>
        <v>*Фьючерсный контракт на обыкновенные акции ПАО "ВУШ Холдинг"*</v>
      </c>
      <c r="B192" s="73"/>
      <c r="C192" s="73"/>
      <c r="D192" s="73"/>
      <c r="E192" s="73"/>
      <c r="F192" s="73"/>
      <c r="G192" s="73"/>
      <c r="H192" s="73"/>
      <c r="I192" s="73"/>
    </row>
    <row r="193">
      <c r="A193" s="77" t="str">
        <f>IFERROR(__xludf.DUMMYFUNCTION("""COMPUTED_VALUE"""),"WUSH-12.25")</f>
        <v>WUSH-12.25</v>
      </c>
      <c r="B193" s="73">
        <f>IFERROR(__xludf.DUMMYFUNCTION("""COMPUTED_VALUE"""),802.0)</f>
        <v>802</v>
      </c>
      <c r="C193" s="73" t="str">
        <f>IFERROR(__xludf.DUMMYFUNCTION("""COMPUTED_VALUE"""),"-0,74%")</f>
        <v>-0,74%</v>
      </c>
      <c r="D193" s="73">
        <f>IFERROR(__xludf.DUMMYFUNCTION("""COMPUTED_VALUE"""),819.0)</f>
        <v>819</v>
      </c>
      <c r="E193" s="73">
        <f>IFERROR(__xludf.DUMMYFUNCTION("""COMPUTED_VALUE"""),796.0)</f>
        <v>796</v>
      </c>
      <c r="F193" s="73" t="str">
        <f>IFERROR(__xludf.DUMMYFUNCTION("""COMPUTED_VALUE"""),"30 952")</f>
        <v>30 952</v>
      </c>
      <c r="G193" s="73" t="str">
        <f>IFERROR(__xludf.DUMMYFUNCTION("""COMPUTED_VALUE"""),"1 247")</f>
        <v>1 247</v>
      </c>
      <c r="H193" s="73" t="str">
        <f>IFERROR(__xludf.DUMMYFUNCTION("""COMPUTED_VALUE"""),"146 034")</f>
        <v>146 034</v>
      </c>
      <c r="I193" s="73"/>
    </row>
    <row r="194">
      <c r="A194" s="77" t="str">
        <f>IFERROR(__xludf.DUMMYFUNCTION("""COMPUTED_VALUE"""),"WUSH-3.26")</f>
        <v>WUSH-3.26</v>
      </c>
      <c r="B194" s="73">
        <f>IFERROR(__xludf.DUMMYFUNCTION("""COMPUTED_VALUE"""),825.0)</f>
        <v>825</v>
      </c>
      <c r="C194" s="73" t="str">
        <f>IFERROR(__xludf.DUMMYFUNCTION("""COMPUTED_VALUE"""),"-1,67%")</f>
        <v>-1,67%</v>
      </c>
      <c r="D194" s="73">
        <f>IFERROR(__xludf.DUMMYFUNCTION("""COMPUTED_VALUE"""),840.0)</f>
        <v>840</v>
      </c>
      <c r="E194" s="73">
        <f>IFERROR(__xludf.DUMMYFUNCTION("""COMPUTED_VALUE"""),807.0)</f>
        <v>807</v>
      </c>
      <c r="F194" s="73">
        <f>IFERROR(__xludf.DUMMYFUNCTION("""COMPUTED_VALUE"""),531.0)</f>
        <v>531</v>
      </c>
      <c r="G194" s="73">
        <f>IFERROR(__xludf.DUMMYFUNCTION("""COMPUTED_VALUE"""),39.0)</f>
        <v>39</v>
      </c>
      <c r="H194" s="73" t="str">
        <f>IFERROR(__xludf.DUMMYFUNCTION("""COMPUTED_VALUE"""),"2 930")</f>
        <v>2 930</v>
      </c>
      <c r="I194" s="73"/>
    </row>
    <row r="195">
      <c r="A195" s="77" t="str">
        <f>IFERROR(__xludf.DUMMYFUNCTION("""COMPUTED_VALUE"""),"*Фьючерсный контракт на обыкновенные акции ПАО «Корпоративный центр ИКС 5»*")</f>
        <v>*Фьючерсный контракт на обыкновенные акции ПАО «Корпоративный центр ИКС 5»*</v>
      </c>
      <c r="B195" s="73"/>
      <c r="C195" s="73"/>
      <c r="D195" s="73"/>
      <c r="E195" s="73"/>
      <c r="F195" s="73"/>
      <c r="G195" s="73"/>
      <c r="H195" s="73"/>
      <c r="I195" s="73"/>
    </row>
    <row r="196">
      <c r="A196" s="77" t="str">
        <f>IFERROR(__xludf.DUMMYFUNCTION("""COMPUTED_VALUE"""),"X5-12.25")</f>
        <v>X5-12.25</v>
      </c>
      <c r="B196" s="73" t="str">
        <f>IFERROR(__xludf.DUMMYFUNCTION("""COMPUTED_VALUE"""),"2 423")</f>
        <v>2 423</v>
      </c>
      <c r="C196" s="73" t="str">
        <f>IFERROR(__xludf.DUMMYFUNCTION("""COMPUTED_VALUE"""),"+2,50%")</f>
        <v>+2,50%</v>
      </c>
      <c r="D196" s="73" t="str">
        <f>IFERROR(__xludf.DUMMYFUNCTION("""COMPUTED_VALUE"""),"2 448")</f>
        <v>2 448</v>
      </c>
      <c r="E196" s="73" t="str">
        <f>IFERROR(__xludf.DUMMYFUNCTION("""COMPUTED_VALUE"""),"2 333")</f>
        <v>2 333</v>
      </c>
      <c r="F196" s="73" t="str">
        <f>IFERROR(__xludf.DUMMYFUNCTION("""COMPUTED_VALUE"""),"30 166")</f>
        <v>30 166</v>
      </c>
      <c r="G196" s="73" t="str">
        <f>IFERROR(__xludf.DUMMYFUNCTION("""COMPUTED_VALUE"""),"1 736")</f>
        <v>1 736</v>
      </c>
      <c r="H196" s="73" t="str">
        <f>IFERROR(__xludf.DUMMYFUNCTION("""COMPUTED_VALUE"""),"293 700")</f>
        <v>293 700</v>
      </c>
      <c r="I196" s="73"/>
    </row>
    <row r="197">
      <c r="A197" s="77" t="str">
        <f>IFERROR(__xludf.DUMMYFUNCTION("""COMPUTED_VALUE"""),"X5-3.26")</f>
        <v>X5-3.26</v>
      </c>
      <c r="B197" s="73" t="str">
        <f>IFERROR(__xludf.DUMMYFUNCTION("""COMPUTED_VALUE"""),"2 428")</f>
        <v>2 428</v>
      </c>
      <c r="C197" s="73" t="str">
        <f>IFERROR(__xludf.DUMMYFUNCTION("""COMPUTED_VALUE"""),"+1,12%")</f>
        <v>+1,12%</v>
      </c>
      <c r="D197" s="73" t="str">
        <f>IFERROR(__xludf.DUMMYFUNCTION("""COMPUTED_VALUE"""),"2 465")</f>
        <v>2 465</v>
      </c>
      <c r="E197" s="73" t="str">
        <f>IFERROR(__xludf.DUMMYFUNCTION("""COMPUTED_VALUE"""),"2 367")</f>
        <v>2 367</v>
      </c>
      <c r="F197" s="73">
        <f>IFERROR(__xludf.DUMMYFUNCTION("""COMPUTED_VALUE"""),922.0)</f>
        <v>922</v>
      </c>
      <c r="G197" s="73">
        <f>IFERROR(__xludf.DUMMYFUNCTION("""COMPUTED_VALUE"""),141.0)</f>
        <v>141</v>
      </c>
      <c r="H197" s="73" t="str">
        <f>IFERROR(__xludf.DUMMYFUNCTION("""COMPUTED_VALUE"""),"16 510")</f>
        <v>16 510</v>
      </c>
      <c r="I197" s="73"/>
    </row>
    <row r="198">
      <c r="A198" s="77" t="str">
        <f>IFERROR(__xludf.DUMMYFUNCTION("""COMPUTED_VALUE"""),"*Фьючерсный контракт на акции Сяоми Корпорэйшн*")</f>
        <v>*Фьючерсный контракт на акции Сяоми Корпорэйшн*</v>
      </c>
      <c r="B198" s="73"/>
      <c r="C198" s="73"/>
      <c r="D198" s="73"/>
      <c r="E198" s="73"/>
      <c r="F198" s="73"/>
      <c r="G198" s="73"/>
      <c r="H198" s="73"/>
      <c r="I198" s="73"/>
    </row>
    <row r="199">
      <c r="A199" s="77" t="str">
        <f>IFERROR(__xludf.DUMMYFUNCTION("""COMPUTED_VALUE"""),"XIA-12.25")</f>
        <v>XIA-12.25</v>
      </c>
      <c r="B199" s="73" t="str">
        <f>IFERROR(__xludf.DUMMYFUNCTION("""COMPUTED_VALUE"""),"50,19")</f>
        <v>50,19</v>
      </c>
      <c r="C199" s="73" t="str">
        <f>IFERROR(__xludf.DUMMYFUNCTION("""COMPUTED_VALUE"""),"+1,19%")</f>
        <v>+1,19%</v>
      </c>
      <c r="D199" s="73" t="str">
        <f>IFERROR(__xludf.DUMMYFUNCTION("""COMPUTED_VALUE"""),"50,46")</f>
        <v>50,46</v>
      </c>
      <c r="E199" s="73" t="str">
        <f>IFERROR(__xludf.DUMMYFUNCTION("""COMPUTED_VALUE"""),"49,6")</f>
        <v>49,6</v>
      </c>
      <c r="F199" s="73">
        <f>IFERROR(__xludf.DUMMYFUNCTION("""COMPUTED_VALUE"""),21.0)</f>
        <v>21</v>
      </c>
      <c r="G199" s="73">
        <f>IFERROR(__xludf.DUMMYFUNCTION("""COMPUTED_VALUE"""),10.0)</f>
        <v>10</v>
      </c>
      <c r="H199" s="73">
        <f>IFERROR(__xludf.DUMMYFUNCTION("""COMPUTED_VALUE"""),576.0)</f>
        <v>576</v>
      </c>
      <c r="I199" s="73"/>
    </row>
    <row r="200">
      <c r="A200" s="77" t="str">
        <f>IFERROR(__xludf.DUMMYFUNCTION("""COMPUTED_VALUE"""),"XIA-3.26")</f>
        <v>XIA-3.26</v>
      </c>
      <c r="B200" s="73" t="str">
        <f>IFERROR(__xludf.DUMMYFUNCTION("""COMPUTED_VALUE"""),"52,59")</f>
        <v>52,59</v>
      </c>
      <c r="C200" s="73" t="str">
        <f>IFERROR(__xludf.DUMMYFUNCTION("""COMPUTED_VALUE"""),"-0,06%")</f>
        <v>-0,06%</v>
      </c>
      <c r="D200" s="73" t="str">
        <f>IFERROR(__xludf.DUMMYFUNCTION("""COMPUTED_VALUE"""),"52,59")</f>
        <v>52,59</v>
      </c>
      <c r="E200" s="73" t="str">
        <f>IFERROR(__xludf.DUMMYFUNCTION("""COMPUTED_VALUE"""),"52,59")</f>
        <v>52,59</v>
      </c>
      <c r="F200" s="73">
        <f>IFERROR(__xludf.DUMMYFUNCTION("""COMPUTED_VALUE"""),1.0)</f>
        <v>1</v>
      </c>
      <c r="G200" s="73">
        <f>IFERROR(__xludf.DUMMYFUNCTION("""COMPUTED_VALUE"""),1.0)</f>
        <v>1</v>
      </c>
      <c r="H200" s="73">
        <f>IFERROR(__xludf.DUMMYFUNCTION("""COMPUTED_VALUE"""),74.0)</f>
        <v>74</v>
      </c>
      <c r="I200" s="73"/>
    </row>
    <row r="201">
      <c r="A201" s="77" t="str">
        <f>IFERROR(__xludf.DUMMYFUNCTION("""COMPUTED_VALUE"""),"*Фьючерсный контракт на обыкновенные акции МКПАО ""ЯНДЕКС""*")</f>
        <v>*Фьючерсный контракт на обыкновенные акции МКПАО "ЯНДЕКС"*</v>
      </c>
      <c r="B201" s="73"/>
      <c r="C201" s="73"/>
      <c r="D201" s="73"/>
      <c r="E201" s="73"/>
      <c r="F201" s="73"/>
      <c r="G201" s="73"/>
      <c r="H201" s="73"/>
      <c r="I201" s="73"/>
    </row>
    <row r="202">
      <c r="A202" s="77" t="str">
        <f>IFERROR(__xludf.DUMMYFUNCTION("""COMPUTED_VALUE"""),"YDEX-12.25")</f>
        <v>YDEX-12.25</v>
      </c>
      <c r="B202" s="73" t="str">
        <f>IFERROR(__xludf.DUMMYFUNCTION("""COMPUTED_VALUE"""),"3 944")</f>
        <v>3 944</v>
      </c>
      <c r="C202" s="73" t="str">
        <f>IFERROR(__xludf.DUMMYFUNCTION("""COMPUTED_VALUE"""),"+0,77%")</f>
        <v>+0,77%</v>
      </c>
      <c r="D202" s="73" t="str">
        <f>IFERROR(__xludf.DUMMYFUNCTION("""COMPUTED_VALUE"""),"3 962")</f>
        <v>3 962</v>
      </c>
      <c r="E202" s="73" t="str">
        <f>IFERROR(__xludf.DUMMYFUNCTION("""COMPUTED_VALUE"""),"3 867")</f>
        <v>3 867</v>
      </c>
      <c r="F202" s="73" t="str">
        <f>IFERROR(__xludf.DUMMYFUNCTION("""COMPUTED_VALUE"""),"51 127")</f>
        <v>51 127</v>
      </c>
      <c r="G202" s="73" t="str">
        <f>IFERROR(__xludf.DUMMYFUNCTION("""COMPUTED_VALUE"""),"4 314")</f>
        <v>4 314</v>
      </c>
      <c r="H202" s="73" t="str">
        <f>IFERROR(__xludf.DUMMYFUNCTION("""COMPUTED_VALUE"""),"275 850")</f>
        <v>275 850</v>
      </c>
      <c r="I202" s="73"/>
    </row>
    <row r="203">
      <c r="A203" s="77" t="str">
        <f>IFERROR(__xludf.DUMMYFUNCTION("""COMPUTED_VALUE"""),"YDEX-3.26")</f>
        <v>YDEX-3.26</v>
      </c>
      <c r="B203" s="73" t="str">
        <f>IFERROR(__xludf.DUMMYFUNCTION("""COMPUTED_VALUE"""),"4 103")</f>
        <v>4 103</v>
      </c>
      <c r="C203" s="73" t="str">
        <f>IFERROR(__xludf.DUMMYFUNCTION("""COMPUTED_VALUE"""),"+0,81%")</f>
        <v>+0,81%</v>
      </c>
      <c r="D203" s="73" t="str">
        <f>IFERROR(__xludf.DUMMYFUNCTION("""COMPUTED_VALUE"""),"4 120")</f>
        <v>4 120</v>
      </c>
      <c r="E203" s="73" t="str">
        <f>IFERROR(__xludf.DUMMYFUNCTION("""COMPUTED_VALUE"""),"4 032")</f>
        <v>4 032</v>
      </c>
      <c r="F203" s="73">
        <f>IFERROR(__xludf.DUMMYFUNCTION("""COMPUTED_VALUE"""),446.0)</f>
        <v>446</v>
      </c>
      <c r="G203" s="73">
        <f>IFERROR(__xludf.DUMMYFUNCTION("""COMPUTED_VALUE"""),84.0)</f>
        <v>84</v>
      </c>
      <c r="H203" s="73" t="str">
        <f>IFERROR(__xludf.DUMMYFUNCTION("""COMPUTED_VALUE"""),"9 858")</f>
        <v>9 858</v>
      </c>
      <c r="I203" s="73"/>
    </row>
    <row r="204">
      <c r="A204" s="77"/>
      <c r="B204" s="73"/>
      <c r="C204" s="73"/>
      <c r="D204" s="73"/>
      <c r="E204" s="73"/>
      <c r="F204" s="73"/>
      <c r="G204" s="73"/>
      <c r="H204" s="73"/>
      <c r="I204" s="73"/>
    </row>
    <row r="205">
      <c r="A205" s="77"/>
      <c r="B205" s="73"/>
      <c r="C205" s="73"/>
      <c r="D205" s="73"/>
      <c r="E205" s="73"/>
      <c r="F205" s="73"/>
      <c r="G205" s="73"/>
      <c r="H205" s="73"/>
      <c r="I205" s="73"/>
    </row>
    <row r="206">
      <c r="A206" s="77"/>
      <c r="B206" s="73"/>
      <c r="C206" s="73"/>
      <c r="D206" s="73"/>
      <c r="E206" s="73"/>
      <c r="F206" s="73"/>
      <c r="G206" s="73"/>
      <c r="H206" s="73"/>
      <c r="I206" s="73"/>
    </row>
    <row r="207">
      <c r="A207" s="77"/>
      <c r="B207" s="73"/>
      <c r="C207" s="73"/>
      <c r="D207" s="73"/>
      <c r="E207" s="73"/>
      <c r="F207" s="73"/>
      <c r="G207" s="73"/>
      <c r="H207" s="73"/>
      <c r="I207" s="73"/>
    </row>
    <row r="208">
      <c r="A208" s="77"/>
      <c r="B208" s="73"/>
      <c r="C208" s="73"/>
      <c r="D208" s="73"/>
      <c r="E208" s="73"/>
      <c r="F208" s="73"/>
      <c r="G208" s="73"/>
      <c r="H208" s="73"/>
      <c r="I208" s="73"/>
    </row>
    <row r="209">
      <c r="A209" s="77"/>
      <c r="B209" s="73"/>
      <c r="C209" s="73"/>
      <c r="D209" s="73"/>
      <c r="E209" s="73"/>
      <c r="F209" s="73"/>
      <c r="G209" s="73"/>
      <c r="H209" s="73"/>
      <c r="I209" s="73"/>
    </row>
    <row r="210">
      <c r="A210" s="77"/>
      <c r="B210" s="73"/>
      <c r="C210" s="73"/>
      <c r="D210" s="73"/>
      <c r="E210" s="73"/>
      <c r="F210" s="73"/>
      <c r="G210" s="73"/>
      <c r="H210" s="73"/>
      <c r="I210" s="73"/>
    </row>
    <row r="211">
      <c r="A211" s="77"/>
      <c r="B211" s="73"/>
      <c r="C211" s="73"/>
      <c r="D211" s="73"/>
      <c r="E211" s="73"/>
      <c r="F211" s="73"/>
      <c r="G211" s="73"/>
      <c r="H211" s="73"/>
      <c r="I211" s="73"/>
    </row>
    <row r="212">
      <c r="A212" s="77"/>
      <c r="B212" s="73"/>
      <c r="C212" s="73"/>
      <c r="D212" s="73"/>
      <c r="E212" s="73"/>
      <c r="F212" s="73"/>
      <c r="G212" s="73"/>
      <c r="H212" s="73"/>
      <c r="I212" s="73"/>
    </row>
    <row r="213">
      <c r="A213" s="77"/>
      <c r="B213" s="73"/>
      <c r="C213" s="73"/>
      <c r="D213" s="73"/>
      <c r="E213" s="73"/>
      <c r="F213" s="73"/>
      <c r="G213" s="73"/>
      <c r="H213" s="73"/>
      <c r="I213" s="73"/>
    </row>
    <row r="214">
      <c r="A214" s="77"/>
      <c r="B214" s="73"/>
      <c r="C214" s="73"/>
      <c r="D214" s="73"/>
      <c r="E214" s="73"/>
      <c r="F214" s="73"/>
      <c r="G214" s="73"/>
      <c r="H214" s="73"/>
      <c r="I214" s="73"/>
    </row>
    <row r="215">
      <c r="A215" s="77"/>
      <c r="B215" s="73"/>
      <c r="C215" s="73"/>
      <c r="D215" s="73"/>
      <c r="E215" s="73"/>
      <c r="F215" s="73"/>
      <c r="G215" s="73"/>
      <c r="H215" s="73"/>
      <c r="I215" s="73"/>
    </row>
    <row r="216">
      <c r="A216" s="77"/>
      <c r="B216" s="73"/>
      <c r="C216" s="73"/>
      <c r="D216" s="73"/>
      <c r="E216" s="73"/>
      <c r="F216" s="73"/>
      <c r="G216" s="73"/>
      <c r="H216" s="73"/>
      <c r="I216" s="73"/>
    </row>
    <row r="217">
      <c r="A217" s="77"/>
      <c r="B217" s="73"/>
      <c r="C217" s="73"/>
      <c r="D217" s="73"/>
      <c r="E217" s="73"/>
      <c r="F217" s="73"/>
      <c r="G217" s="73"/>
      <c r="H217" s="73"/>
      <c r="I217" s="73"/>
    </row>
    <row r="218">
      <c r="A218" s="77"/>
      <c r="B218" s="73"/>
      <c r="C218" s="73"/>
      <c r="D218" s="73"/>
      <c r="E218" s="73"/>
      <c r="F218" s="73"/>
      <c r="G218" s="73"/>
      <c r="H218" s="73"/>
      <c r="I218" s="73"/>
    </row>
    <row r="219">
      <c r="A219" s="77"/>
      <c r="B219" s="73"/>
      <c r="C219" s="73"/>
      <c r="D219" s="73"/>
      <c r="E219" s="73"/>
      <c r="F219" s="73"/>
      <c r="G219" s="73"/>
      <c r="H219" s="73"/>
      <c r="I219" s="73"/>
    </row>
    <row r="220">
      <c r="A220" s="77"/>
      <c r="B220" s="73"/>
      <c r="C220" s="73"/>
      <c r="D220" s="73"/>
      <c r="E220" s="73"/>
      <c r="F220" s="73"/>
      <c r="G220" s="73"/>
      <c r="H220" s="73"/>
      <c r="I220" s="73"/>
    </row>
    <row r="221">
      <c r="A221" s="77"/>
      <c r="B221" s="73"/>
      <c r="C221" s="73"/>
      <c r="D221" s="73"/>
      <c r="E221" s="73"/>
      <c r="F221" s="73"/>
      <c r="G221" s="73"/>
      <c r="H221" s="73"/>
      <c r="I221" s="73"/>
    </row>
    <row r="222">
      <c r="A222" s="77"/>
      <c r="B222" s="73"/>
      <c r="C222" s="73"/>
      <c r="D222" s="73"/>
      <c r="E222" s="73"/>
      <c r="F222" s="73"/>
      <c r="G222" s="73"/>
      <c r="H222" s="73"/>
      <c r="I222" s="73"/>
    </row>
    <row r="223">
      <c r="A223" s="77"/>
      <c r="B223" s="73"/>
      <c r="C223" s="73"/>
      <c r="D223" s="73"/>
      <c r="E223" s="73"/>
      <c r="F223" s="73"/>
      <c r="G223" s="73"/>
      <c r="H223" s="73"/>
      <c r="I223" s="73"/>
    </row>
    <row r="224">
      <c r="A224" s="77"/>
      <c r="B224" s="73"/>
      <c r="C224" s="73"/>
      <c r="D224" s="73"/>
      <c r="E224" s="73"/>
      <c r="F224" s="73"/>
      <c r="G224" s="73"/>
      <c r="H224" s="73"/>
      <c r="I224" s="73"/>
    </row>
    <row r="225">
      <c r="A225" s="77"/>
      <c r="B225" s="73"/>
      <c r="C225" s="73"/>
      <c r="D225" s="73"/>
      <c r="E225" s="73"/>
      <c r="F225" s="73"/>
      <c r="G225" s="73"/>
      <c r="H225" s="73"/>
      <c r="I225" s="73"/>
    </row>
    <row r="226">
      <c r="A226" s="77"/>
      <c r="B226" s="73"/>
      <c r="C226" s="73"/>
      <c r="D226" s="73"/>
      <c r="E226" s="73"/>
      <c r="F226" s="73"/>
      <c r="G226" s="73"/>
      <c r="H226" s="73"/>
      <c r="I226" s="73"/>
    </row>
    <row r="227">
      <c r="A227" s="77"/>
      <c r="B227" s="73"/>
      <c r="C227" s="73"/>
      <c r="D227" s="73"/>
      <c r="E227" s="73"/>
      <c r="F227" s="73"/>
      <c r="G227" s="73"/>
      <c r="H227" s="73"/>
      <c r="I227" s="73"/>
    </row>
    <row r="228">
      <c r="A228" s="77"/>
      <c r="B228" s="73"/>
      <c r="C228" s="73"/>
      <c r="D228" s="73"/>
      <c r="E228" s="73"/>
      <c r="F228" s="73"/>
      <c r="G228" s="73"/>
      <c r="H228" s="73"/>
      <c r="I228" s="73"/>
    </row>
    <row r="229">
      <c r="A229" s="77"/>
      <c r="B229" s="73"/>
      <c r="C229" s="73"/>
      <c r="D229" s="73"/>
      <c r="E229" s="73"/>
      <c r="F229" s="73"/>
      <c r="G229" s="73"/>
      <c r="H229" s="73"/>
      <c r="I229" s="73"/>
    </row>
    <row r="230">
      <c r="A230" s="77"/>
      <c r="B230" s="73"/>
      <c r="C230" s="73"/>
      <c r="D230" s="73"/>
      <c r="E230" s="73"/>
      <c r="F230" s="73"/>
      <c r="G230" s="73"/>
      <c r="H230" s="73"/>
      <c r="I230" s="73"/>
    </row>
    <row r="231">
      <c r="A231" s="77"/>
      <c r="B231" s="73"/>
      <c r="C231" s="73"/>
      <c r="D231" s="73"/>
      <c r="E231" s="73"/>
      <c r="F231" s="73"/>
      <c r="G231" s="73"/>
      <c r="H231" s="73"/>
      <c r="I231" s="73"/>
    </row>
    <row r="232">
      <c r="A232" s="77"/>
      <c r="B232" s="73"/>
      <c r="C232" s="73"/>
      <c r="D232" s="73"/>
      <c r="E232" s="73"/>
      <c r="F232" s="73"/>
      <c r="G232" s="73"/>
      <c r="H232" s="73"/>
      <c r="I232" s="73"/>
    </row>
    <row r="233">
      <c r="A233" s="77"/>
      <c r="B233" s="73"/>
      <c r="C233" s="73"/>
      <c r="D233" s="73"/>
      <c r="E233" s="73"/>
      <c r="F233" s="73"/>
      <c r="G233" s="73"/>
      <c r="H233" s="73"/>
      <c r="I233" s="73"/>
    </row>
    <row r="234">
      <c r="A234" s="77"/>
      <c r="B234" s="73"/>
      <c r="C234" s="73"/>
      <c r="D234" s="73"/>
      <c r="E234" s="73"/>
      <c r="F234" s="73"/>
      <c r="G234" s="73"/>
      <c r="H234" s="73"/>
      <c r="I234" s="73"/>
    </row>
    <row r="235">
      <c r="A235" s="77"/>
      <c r="B235" s="73"/>
      <c r="C235" s="73"/>
      <c r="D235" s="73"/>
      <c r="E235" s="73"/>
      <c r="F235" s="73"/>
      <c r="G235" s="73"/>
      <c r="H235" s="73"/>
      <c r="I235" s="73"/>
    </row>
    <row r="236">
      <c r="A236" s="77"/>
      <c r="B236" s="73"/>
      <c r="C236" s="73"/>
      <c r="D236" s="73"/>
      <c r="E236" s="73"/>
      <c r="F236" s="73"/>
      <c r="G236" s="73"/>
      <c r="H236" s="73"/>
      <c r="I236" s="73"/>
    </row>
    <row r="237">
      <c r="A237" s="77"/>
      <c r="B237" s="73"/>
      <c r="C237" s="73"/>
      <c r="D237" s="73"/>
      <c r="E237" s="73"/>
      <c r="F237" s="73"/>
      <c r="G237" s="73"/>
      <c r="H237" s="73"/>
      <c r="I237" s="73"/>
    </row>
    <row r="238">
      <c r="A238" s="77"/>
      <c r="B238" s="73"/>
      <c r="C238" s="73"/>
      <c r="D238" s="73"/>
      <c r="E238" s="73"/>
      <c r="F238" s="73"/>
      <c r="G238" s="73"/>
      <c r="H238" s="73"/>
      <c r="I238" s="73"/>
    </row>
    <row r="239">
      <c r="A239" s="77"/>
      <c r="B239" s="73"/>
      <c r="C239" s="73"/>
      <c r="D239" s="73"/>
      <c r="E239" s="73"/>
      <c r="F239" s="73"/>
      <c r="G239" s="73"/>
      <c r="H239" s="73"/>
      <c r="I239" s="73"/>
    </row>
    <row r="240">
      <c r="A240" s="77"/>
      <c r="B240" s="73"/>
      <c r="C240" s="73"/>
      <c r="D240" s="73"/>
      <c r="E240" s="73"/>
      <c r="F240" s="73"/>
      <c r="G240" s="73"/>
      <c r="H240" s="73"/>
      <c r="I240" s="73"/>
    </row>
    <row r="241">
      <c r="A241" s="77"/>
      <c r="B241" s="73"/>
      <c r="C241" s="73"/>
      <c r="D241" s="73"/>
      <c r="E241" s="73"/>
      <c r="F241" s="73"/>
      <c r="G241" s="73"/>
      <c r="H241" s="73"/>
      <c r="I241" s="73"/>
    </row>
    <row r="242">
      <c r="A242" s="77"/>
      <c r="B242" s="73"/>
      <c r="C242" s="73"/>
      <c r="D242" s="73"/>
      <c r="E242" s="73"/>
      <c r="F242" s="73"/>
      <c r="G242" s="73"/>
      <c r="H242" s="73"/>
      <c r="I242" s="73"/>
    </row>
    <row r="243">
      <c r="A243" s="77"/>
      <c r="B243" s="73"/>
      <c r="C243" s="73"/>
      <c r="D243" s="73"/>
      <c r="E243" s="73"/>
      <c r="F243" s="73"/>
      <c r="G243" s="73"/>
      <c r="H243" s="73"/>
      <c r="I243" s="73"/>
    </row>
    <row r="244">
      <c r="A244" s="80"/>
      <c r="B244" s="73"/>
      <c r="C244" s="73"/>
      <c r="D244" s="73"/>
      <c r="E244" s="73"/>
      <c r="F244" s="73"/>
      <c r="G244" s="73"/>
      <c r="H244" s="73"/>
      <c r="I244" s="73"/>
    </row>
    <row r="245">
      <c r="A245" s="80"/>
      <c r="B245" s="73"/>
      <c r="C245" s="73"/>
      <c r="D245" s="73"/>
      <c r="E245" s="73"/>
      <c r="F245" s="73"/>
      <c r="G245" s="73"/>
      <c r="H245" s="73"/>
      <c r="I245" s="73"/>
    </row>
    <row r="246">
      <c r="A246" s="80"/>
      <c r="B246" s="73"/>
      <c r="C246" s="73"/>
      <c r="D246" s="73"/>
      <c r="E246" s="73"/>
      <c r="F246" s="73"/>
      <c r="G246" s="73"/>
      <c r="H246" s="73"/>
      <c r="I246" s="73"/>
    </row>
    <row r="247">
      <c r="A247" s="80"/>
      <c r="B247" s="73"/>
      <c r="C247" s="73"/>
      <c r="D247" s="73"/>
      <c r="E247" s="73"/>
      <c r="F247" s="73"/>
      <c r="G247" s="73"/>
      <c r="H247" s="73"/>
      <c r="I247" s="73"/>
    </row>
    <row r="248">
      <c r="A248" s="77"/>
      <c r="B248" s="73"/>
      <c r="C248" s="73"/>
      <c r="D248" s="73"/>
      <c r="E248" s="73"/>
      <c r="F248" s="73"/>
      <c r="G248" s="73"/>
      <c r="H248" s="73"/>
      <c r="I248" s="73"/>
    </row>
    <row r="249">
      <c r="A249" s="77"/>
      <c r="B249" s="73"/>
      <c r="C249" s="73"/>
      <c r="D249" s="73"/>
      <c r="E249" s="73"/>
      <c r="F249" s="73"/>
      <c r="G249" s="73"/>
      <c r="H249" s="73"/>
      <c r="I249" s="73"/>
    </row>
    <row r="250">
      <c r="A250" s="77"/>
      <c r="B250" s="73"/>
      <c r="C250" s="73"/>
      <c r="D250" s="73"/>
      <c r="E250" s="73"/>
      <c r="F250" s="73"/>
      <c r="G250" s="73"/>
      <c r="H250" s="73"/>
      <c r="I250" s="73"/>
    </row>
    <row r="251">
      <c r="A251" s="77"/>
      <c r="B251" s="73"/>
      <c r="C251" s="73"/>
      <c r="D251" s="73"/>
      <c r="E251" s="73"/>
      <c r="F251" s="73"/>
      <c r="G251" s="73"/>
      <c r="H251" s="73"/>
      <c r="I251" s="73"/>
    </row>
    <row r="252">
      <c r="A252" s="77"/>
      <c r="B252" s="73"/>
      <c r="C252" s="73"/>
      <c r="D252" s="73"/>
      <c r="E252" s="73"/>
      <c r="F252" s="73"/>
      <c r="G252" s="73"/>
      <c r="H252" s="73"/>
      <c r="I252" s="73"/>
    </row>
    <row r="253">
      <c r="A253" s="77"/>
      <c r="B253" s="73"/>
      <c r="C253" s="73"/>
      <c r="D253" s="73"/>
      <c r="E253" s="73"/>
      <c r="F253" s="73"/>
      <c r="G253" s="73"/>
      <c r="H253" s="73"/>
      <c r="I253" s="73"/>
    </row>
    <row r="254">
      <c r="A254" s="77"/>
      <c r="B254" s="73"/>
      <c r="C254" s="73"/>
      <c r="D254" s="73"/>
      <c r="E254" s="73"/>
      <c r="F254" s="73"/>
      <c r="G254" s="73"/>
      <c r="H254" s="73"/>
      <c r="I254" s="73"/>
    </row>
    <row r="255">
      <c r="A255" s="77"/>
      <c r="B255" s="73"/>
      <c r="C255" s="73"/>
      <c r="D255" s="73"/>
      <c r="E255" s="73"/>
      <c r="F255" s="73"/>
      <c r="G255" s="73"/>
      <c r="H255" s="73"/>
      <c r="I255" s="73"/>
    </row>
    <row r="256">
      <c r="A256" s="77"/>
      <c r="B256" s="73"/>
      <c r="C256" s="73"/>
      <c r="D256" s="73"/>
      <c r="E256" s="73"/>
      <c r="F256" s="73"/>
      <c r="G256" s="73"/>
      <c r="H256" s="73"/>
      <c r="I256" s="73"/>
    </row>
    <row r="257">
      <c r="A257" s="77"/>
      <c r="B257" s="73"/>
      <c r="C257" s="73"/>
      <c r="D257" s="73"/>
      <c r="E257" s="73"/>
      <c r="F257" s="73"/>
      <c r="G257" s="73"/>
      <c r="H257" s="73"/>
      <c r="I257" s="73"/>
    </row>
    <row r="258">
      <c r="A258" s="77"/>
      <c r="B258" s="73"/>
      <c r="C258" s="73"/>
      <c r="D258" s="73"/>
      <c r="E258" s="73"/>
      <c r="F258" s="73"/>
      <c r="G258" s="73"/>
      <c r="H258" s="73"/>
      <c r="I258" s="73"/>
    </row>
    <row r="259">
      <c r="A259" s="77"/>
      <c r="B259" s="73"/>
      <c r="C259" s="73"/>
      <c r="D259" s="73"/>
      <c r="E259" s="73"/>
      <c r="F259" s="73"/>
      <c r="G259" s="73"/>
      <c r="H259" s="73"/>
      <c r="I259" s="73"/>
    </row>
    <row r="260">
      <c r="A260" s="77"/>
      <c r="B260" s="73"/>
      <c r="C260" s="73"/>
      <c r="D260" s="73"/>
      <c r="E260" s="73"/>
      <c r="F260" s="73"/>
      <c r="G260" s="73"/>
      <c r="H260" s="73"/>
      <c r="I260" s="73"/>
    </row>
    <row r="261">
      <c r="A261" s="77"/>
      <c r="B261" s="73"/>
      <c r="C261" s="73"/>
      <c r="D261" s="73"/>
      <c r="E261" s="73"/>
      <c r="F261" s="73"/>
      <c r="G261" s="73"/>
      <c r="H261" s="73"/>
      <c r="I261" s="73"/>
    </row>
    <row r="262">
      <c r="A262" s="77"/>
      <c r="B262" s="73"/>
      <c r="C262" s="73"/>
      <c r="D262" s="73"/>
      <c r="E262" s="73"/>
      <c r="F262" s="73"/>
      <c r="G262" s="73"/>
      <c r="H262" s="73"/>
      <c r="I262" s="73"/>
    </row>
    <row r="263">
      <c r="A263" s="77"/>
      <c r="B263" s="73"/>
      <c r="C263" s="73"/>
      <c r="D263" s="73"/>
      <c r="E263" s="73"/>
      <c r="F263" s="73"/>
      <c r="G263" s="73"/>
      <c r="H263" s="73"/>
      <c r="I263" s="73"/>
    </row>
    <row r="264">
      <c r="A264" s="77"/>
      <c r="B264" s="73"/>
      <c r="C264" s="73"/>
      <c r="D264" s="73"/>
      <c r="E264" s="73"/>
      <c r="F264" s="73"/>
      <c r="G264" s="73"/>
      <c r="H264" s="73"/>
      <c r="I264" s="73"/>
    </row>
    <row r="265">
      <c r="A265" s="77"/>
      <c r="B265" s="73"/>
      <c r="C265" s="73"/>
      <c r="D265" s="73"/>
      <c r="E265" s="73"/>
      <c r="F265" s="73"/>
      <c r="G265" s="73"/>
      <c r="H265" s="73"/>
      <c r="I265" s="73"/>
    </row>
    <row r="266">
      <c r="A266" s="77"/>
      <c r="B266" s="73"/>
      <c r="C266" s="73"/>
      <c r="D266" s="73"/>
      <c r="E266" s="73"/>
      <c r="F266" s="73"/>
      <c r="G266" s="73"/>
      <c r="H266" s="73"/>
      <c r="I266" s="73"/>
    </row>
    <row r="267">
      <c r="A267" s="77"/>
      <c r="B267" s="73"/>
      <c r="C267" s="73"/>
      <c r="D267" s="73"/>
      <c r="E267" s="73"/>
      <c r="F267" s="73"/>
      <c r="G267" s="73"/>
      <c r="H267" s="73"/>
      <c r="I267" s="73"/>
    </row>
    <row r="268">
      <c r="A268" s="77"/>
      <c r="B268" s="73"/>
      <c r="C268" s="73"/>
      <c r="D268" s="73"/>
      <c r="E268" s="73"/>
      <c r="F268" s="73"/>
      <c r="G268" s="73"/>
      <c r="H268" s="73"/>
      <c r="I268" s="73"/>
    </row>
    <row r="269">
      <c r="A269" s="77"/>
      <c r="B269" s="73"/>
      <c r="C269" s="73"/>
      <c r="D269" s="73"/>
      <c r="E269" s="73"/>
      <c r="F269" s="73"/>
      <c r="G269" s="73"/>
      <c r="H269" s="73"/>
      <c r="I269" s="73"/>
    </row>
    <row r="270">
      <c r="A270" s="77"/>
      <c r="B270" s="73"/>
      <c r="C270" s="73"/>
      <c r="D270" s="73"/>
      <c r="E270" s="73"/>
      <c r="F270" s="73"/>
      <c r="G270" s="73"/>
      <c r="H270" s="73"/>
      <c r="I270" s="73"/>
    </row>
    <row r="271">
      <c r="A271" s="77"/>
      <c r="B271" s="73"/>
      <c r="C271" s="73"/>
      <c r="D271" s="73"/>
      <c r="E271" s="73"/>
      <c r="F271" s="73"/>
      <c r="G271" s="73"/>
      <c r="H271" s="73"/>
      <c r="I271" s="73"/>
    </row>
    <row r="272">
      <c r="A272" s="77"/>
      <c r="B272" s="73"/>
      <c r="C272" s="73"/>
      <c r="D272" s="73"/>
      <c r="E272" s="73"/>
      <c r="F272" s="73"/>
      <c r="G272" s="73"/>
      <c r="H272" s="73"/>
      <c r="I272" s="73"/>
    </row>
    <row r="273">
      <c r="A273" s="77"/>
      <c r="B273" s="73"/>
      <c r="C273" s="73"/>
      <c r="D273" s="73"/>
      <c r="E273" s="73"/>
      <c r="F273" s="73"/>
      <c r="G273" s="73"/>
      <c r="H273" s="73"/>
      <c r="I273" s="73"/>
    </row>
    <row r="274">
      <c r="A274" s="77"/>
      <c r="B274" s="73"/>
      <c r="C274" s="73"/>
      <c r="D274" s="73"/>
      <c r="E274" s="73"/>
      <c r="F274" s="73"/>
      <c r="G274" s="73"/>
      <c r="H274" s="73"/>
      <c r="I274" s="73"/>
    </row>
    <row r="275">
      <c r="A275" s="77"/>
      <c r="B275" s="73"/>
      <c r="C275" s="73"/>
      <c r="D275" s="73"/>
      <c r="E275" s="73"/>
      <c r="F275" s="73"/>
      <c r="G275" s="73"/>
      <c r="H275" s="73"/>
      <c r="I275" s="73"/>
    </row>
    <row r="276">
      <c r="A276" s="77"/>
      <c r="B276" s="73"/>
      <c r="C276" s="73"/>
      <c r="D276" s="73"/>
      <c r="E276" s="73"/>
      <c r="F276" s="73"/>
      <c r="G276" s="73"/>
      <c r="H276" s="73"/>
      <c r="I276" s="73"/>
    </row>
    <row r="277">
      <c r="A277" s="77"/>
      <c r="B277" s="73"/>
      <c r="C277" s="73"/>
      <c r="D277" s="73"/>
      <c r="E277" s="73"/>
      <c r="F277" s="73"/>
      <c r="G277" s="73"/>
      <c r="H277" s="73"/>
      <c r="I277" s="73"/>
    </row>
    <row r="278">
      <c r="A278" s="77"/>
      <c r="B278" s="73"/>
      <c r="C278" s="73"/>
      <c r="D278" s="73"/>
      <c r="E278" s="73"/>
      <c r="F278" s="73"/>
      <c r="G278" s="73"/>
      <c r="H278" s="73"/>
      <c r="I278" s="73"/>
    </row>
    <row r="279">
      <c r="A279" s="77"/>
      <c r="B279" s="73"/>
      <c r="C279" s="73"/>
      <c r="D279" s="73"/>
      <c r="E279" s="73"/>
      <c r="F279" s="73"/>
      <c r="G279" s="73"/>
      <c r="H279" s="73"/>
      <c r="I279" s="73"/>
    </row>
    <row r="280">
      <c r="A280" s="77"/>
      <c r="B280" s="73"/>
      <c r="C280" s="73"/>
      <c r="D280" s="73"/>
      <c r="E280" s="73"/>
      <c r="F280" s="73"/>
      <c r="G280" s="73"/>
      <c r="H280" s="73"/>
      <c r="I280" s="73"/>
    </row>
    <row r="281">
      <c r="A281" s="77"/>
      <c r="B281" s="73"/>
      <c r="C281" s="73"/>
      <c r="D281" s="73"/>
      <c r="E281" s="73"/>
      <c r="F281" s="73"/>
      <c r="G281" s="73"/>
      <c r="H281" s="73"/>
      <c r="I281" s="73"/>
    </row>
    <row r="282">
      <c r="A282" s="77"/>
      <c r="B282" s="73"/>
      <c r="C282" s="73"/>
      <c r="D282" s="73"/>
      <c r="E282" s="73"/>
      <c r="F282" s="73"/>
      <c r="G282" s="73"/>
      <c r="H282" s="73"/>
      <c r="I282" s="73"/>
    </row>
    <row r="283">
      <c r="A283" s="77"/>
      <c r="B283" s="73"/>
      <c r="C283" s="73"/>
      <c r="D283" s="73"/>
      <c r="E283" s="73"/>
      <c r="F283" s="73"/>
      <c r="G283" s="73"/>
      <c r="H283" s="73"/>
      <c r="I283" s="73"/>
    </row>
    <row r="284">
      <c r="A284" s="77"/>
      <c r="B284" s="73"/>
      <c r="C284" s="73"/>
      <c r="D284" s="73"/>
      <c r="E284" s="73"/>
      <c r="F284" s="73"/>
      <c r="G284" s="73"/>
      <c r="H284" s="73"/>
      <c r="I284" s="73"/>
    </row>
    <row r="285">
      <c r="A285" s="77"/>
      <c r="B285" s="73"/>
      <c r="C285" s="73"/>
      <c r="D285" s="73"/>
      <c r="E285" s="73"/>
      <c r="F285" s="73"/>
      <c r="G285" s="73"/>
      <c r="H285" s="73"/>
      <c r="I285" s="73"/>
    </row>
    <row r="286">
      <c r="A286" s="77"/>
      <c r="B286" s="73"/>
      <c r="C286" s="73"/>
      <c r="D286" s="73"/>
      <c r="E286" s="73"/>
      <c r="F286" s="73"/>
      <c r="G286" s="73"/>
      <c r="H286" s="73"/>
      <c r="I286" s="73"/>
    </row>
    <row r="287">
      <c r="A287" s="77"/>
      <c r="B287" s="73"/>
      <c r="C287" s="73"/>
      <c r="D287" s="73"/>
      <c r="E287" s="73"/>
      <c r="F287" s="73"/>
      <c r="G287" s="73"/>
      <c r="H287" s="73"/>
      <c r="I287" s="73"/>
    </row>
    <row r="288">
      <c r="A288" s="77"/>
      <c r="B288" s="73"/>
      <c r="C288" s="73"/>
      <c r="D288" s="73"/>
      <c r="E288" s="73"/>
      <c r="F288" s="73"/>
      <c r="G288" s="73"/>
      <c r="H288" s="73"/>
      <c r="I288" s="73"/>
    </row>
    <row r="289">
      <c r="A289" s="77"/>
      <c r="B289" s="73"/>
      <c r="C289" s="73"/>
      <c r="D289" s="73"/>
      <c r="E289" s="73"/>
      <c r="F289" s="73"/>
      <c r="G289" s="73"/>
      <c r="H289" s="73"/>
      <c r="I289" s="73"/>
    </row>
    <row r="290">
      <c r="A290" s="77"/>
      <c r="B290" s="73"/>
      <c r="C290" s="73"/>
      <c r="D290" s="73"/>
      <c r="E290" s="73"/>
      <c r="F290" s="73"/>
      <c r="G290" s="73"/>
      <c r="H290" s="73"/>
      <c r="I290" s="73"/>
    </row>
    <row r="291">
      <c r="A291" s="77"/>
      <c r="B291" s="73"/>
      <c r="C291" s="73"/>
      <c r="D291" s="73"/>
      <c r="E291" s="73"/>
      <c r="F291" s="73"/>
      <c r="G291" s="73"/>
      <c r="H291" s="73"/>
      <c r="I291" s="73"/>
    </row>
    <row r="292">
      <c r="A292" s="77"/>
      <c r="B292" s="73"/>
      <c r="C292" s="73"/>
      <c r="D292" s="73"/>
      <c r="E292" s="73"/>
      <c r="F292" s="73"/>
      <c r="G292" s="73"/>
      <c r="H292" s="73"/>
      <c r="I292" s="73"/>
    </row>
    <row r="293">
      <c r="A293" s="77"/>
      <c r="B293" s="73"/>
      <c r="C293" s="73"/>
      <c r="D293" s="73"/>
      <c r="E293" s="73"/>
      <c r="F293" s="73"/>
      <c r="G293" s="73"/>
      <c r="H293" s="73"/>
      <c r="I293" s="73"/>
    </row>
    <row r="294">
      <c r="A294" s="77"/>
      <c r="B294" s="73"/>
      <c r="C294" s="73"/>
      <c r="D294" s="73"/>
      <c r="E294" s="73"/>
      <c r="F294" s="73"/>
      <c r="G294" s="73"/>
      <c r="H294" s="73"/>
      <c r="I294" s="73"/>
    </row>
    <row r="295">
      <c r="A295" s="77"/>
      <c r="B295" s="73"/>
      <c r="C295" s="73"/>
      <c r="D295" s="73"/>
      <c r="E295" s="73"/>
      <c r="F295" s="73"/>
      <c r="G295" s="73"/>
      <c r="H295" s="73"/>
      <c r="I295" s="73"/>
    </row>
    <row r="296">
      <c r="A296" s="77"/>
      <c r="B296" s="73"/>
      <c r="C296" s="73"/>
      <c r="D296" s="73"/>
      <c r="E296" s="73"/>
      <c r="F296" s="73"/>
      <c r="G296" s="73"/>
      <c r="H296" s="73"/>
      <c r="I296" s="73"/>
    </row>
    <row r="297">
      <c r="A297" s="77"/>
      <c r="B297" s="73"/>
      <c r="C297" s="73"/>
      <c r="D297" s="73"/>
      <c r="E297" s="73"/>
      <c r="F297" s="73"/>
      <c r="G297" s="73"/>
      <c r="H297" s="73"/>
      <c r="I297" s="73"/>
    </row>
    <row r="298">
      <c r="A298" s="77"/>
      <c r="B298" s="73"/>
      <c r="C298" s="73"/>
      <c r="D298" s="73"/>
      <c r="E298" s="73"/>
      <c r="F298" s="73"/>
      <c r="G298" s="73"/>
      <c r="H298" s="73"/>
      <c r="I298" s="73"/>
    </row>
    <row r="299">
      <c r="A299" s="77"/>
      <c r="B299" s="73"/>
      <c r="C299" s="73"/>
      <c r="D299" s="73"/>
      <c r="E299" s="73"/>
      <c r="F299" s="73"/>
      <c r="G299" s="73"/>
      <c r="H299" s="73"/>
      <c r="I299" s="73"/>
    </row>
    <row r="300">
      <c r="A300" s="77"/>
      <c r="B300" s="73"/>
      <c r="C300" s="73"/>
      <c r="D300" s="73"/>
      <c r="E300" s="73"/>
      <c r="F300" s="73"/>
      <c r="G300" s="73"/>
      <c r="H300" s="73"/>
      <c r="I300" s="73"/>
    </row>
    <row r="301">
      <c r="A301" s="77"/>
      <c r="B301" s="73"/>
      <c r="C301" s="73"/>
      <c r="D301" s="73"/>
      <c r="E301" s="73"/>
      <c r="F301" s="73"/>
      <c r="G301" s="73"/>
      <c r="H301" s="73"/>
      <c r="I301" s="73"/>
    </row>
    <row r="302">
      <c r="A302" s="77"/>
      <c r="B302" s="73"/>
      <c r="C302" s="73"/>
      <c r="D302" s="73"/>
      <c r="E302" s="73"/>
      <c r="F302" s="73"/>
      <c r="G302" s="73"/>
      <c r="H302" s="73"/>
      <c r="I302" s="73"/>
    </row>
    <row r="303">
      <c r="A303" s="77"/>
      <c r="B303" s="73"/>
      <c r="C303" s="73"/>
      <c r="D303" s="73"/>
      <c r="E303" s="73"/>
      <c r="F303" s="73"/>
      <c r="G303" s="73"/>
      <c r="H303" s="73"/>
      <c r="I303" s="73"/>
    </row>
    <row r="304">
      <c r="A304" s="77"/>
      <c r="B304" s="73"/>
      <c r="C304" s="73"/>
      <c r="D304" s="73"/>
      <c r="E304" s="73"/>
      <c r="F304" s="73"/>
      <c r="G304" s="73"/>
      <c r="H304" s="73"/>
      <c r="I304" s="73"/>
    </row>
    <row r="305">
      <c r="A305" s="77"/>
      <c r="B305" s="73"/>
      <c r="C305" s="73"/>
      <c r="D305" s="73"/>
      <c r="E305" s="73"/>
      <c r="F305" s="73"/>
      <c r="G305" s="73"/>
      <c r="H305" s="73"/>
      <c r="I305" s="73"/>
    </row>
    <row r="306">
      <c r="A306" s="77"/>
      <c r="B306" s="73"/>
      <c r="C306" s="73"/>
      <c r="D306" s="73"/>
      <c r="E306" s="73"/>
      <c r="F306" s="73"/>
      <c r="G306" s="73"/>
      <c r="H306" s="73"/>
      <c r="I306" s="73"/>
    </row>
    <row r="307">
      <c r="A307" s="77"/>
      <c r="B307" s="73"/>
      <c r="C307" s="73"/>
      <c r="D307" s="73"/>
      <c r="E307" s="73"/>
      <c r="F307" s="73"/>
      <c r="G307" s="73"/>
      <c r="H307" s="73"/>
      <c r="I307" s="73"/>
    </row>
    <row r="308">
      <c r="A308" s="77"/>
      <c r="B308" s="73"/>
      <c r="C308" s="73"/>
      <c r="D308" s="73"/>
      <c r="E308" s="73"/>
      <c r="F308" s="73"/>
      <c r="G308" s="73"/>
      <c r="H308" s="73"/>
      <c r="I308" s="73"/>
    </row>
    <row r="309">
      <c r="A309" s="77"/>
      <c r="B309" s="73"/>
      <c r="C309" s="73"/>
      <c r="D309" s="73"/>
      <c r="E309" s="73"/>
      <c r="F309" s="73"/>
      <c r="G309" s="73"/>
      <c r="H309" s="73"/>
      <c r="I309" s="73"/>
    </row>
    <row r="310">
      <c r="A310" s="77"/>
      <c r="B310" s="73"/>
      <c r="C310" s="73"/>
      <c r="D310" s="73"/>
      <c r="E310" s="73"/>
      <c r="F310" s="73"/>
      <c r="G310" s="73"/>
      <c r="H310" s="73"/>
      <c r="I310" s="73"/>
    </row>
    <row r="311">
      <c r="A311" s="77"/>
      <c r="B311" s="73"/>
      <c r="C311" s="73"/>
      <c r="D311" s="73"/>
      <c r="E311" s="73"/>
      <c r="F311" s="73"/>
      <c r="G311" s="73"/>
      <c r="H311" s="73"/>
      <c r="I311" s="73"/>
    </row>
    <row r="312">
      <c r="A312" s="77"/>
      <c r="B312" s="73"/>
      <c r="C312" s="73"/>
      <c r="D312" s="73"/>
      <c r="E312" s="73"/>
      <c r="F312" s="73"/>
      <c r="G312" s="73"/>
      <c r="H312" s="73"/>
      <c r="I312" s="73"/>
    </row>
    <row r="313">
      <c r="A313" s="77"/>
      <c r="B313" s="73"/>
      <c r="C313" s="73"/>
      <c r="D313" s="73"/>
      <c r="E313" s="73"/>
      <c r="F313" s="73"/>
      <c r="G313" s="73"/>
      <c r="H313" s="73"/>
      <c r="I313" s="73"/>
    </row>
    <row r="314">
      <c r="A314" s="77"/>
      <c r="B314" s="73"/>
      <c r="C314" s="73"/>
      <c r="D314" s="73"/>
      <c r="E314" s="73"/>
      <c r="F314" s="73"/>
      <c r="G314" s="73"/>
      <c r="H314" s="73"/>
      <c r="I314" s="73"/>
    </row>
    <row r="315">
      <c r="A315" s="77"/>
      <c r="B315" s="73"/>
      <c r="C315" s="73"/>
      <c r="D315" s="73"/>
      <c r="E315" s="73"/>
      <c r="F315" s="73"/>
      <c r="G315" s="73"/>
      <c r="H315" s="73"/>
      <c r="I315" s="73"/>
    </row>
    <row r="316">
      <c r="A316" s="77"/>
      <c r="B316" s="73"/>
      <c r="C316" s="73"/>
      <c r="D316" s="73"/>
      <c r="E316" s="73"/>
      <c r="F316" s="73"/>
      <c r="G316" s="73"/>
      <c r="H316" s="73"/>
      <c r="I316" s="73"/>
    </row>
    <row r="317">
      <c r="A317" s="77"/>
      <c r="B317" s="73"/>
      <c r="C317" s="73"/>
      <c r="D317" s="73"/>
      <c r="E317" s="73"/>
      <c r="F317" s="73"/>
      <c r="G317" s="73"/>
      <c r="H317" s="73"/>
      <c r="I317" s="73"/>
    </row>
    <row r="318">
      <c r="A318" s="77"/>
      <c r="B318" s="73"/>
      <c r="C318" s="73"/>
      <c r="D318" s="73"/>
      <c r="E318" s="73"/>
      <c r="F318" s="73"/>
      <c r="G318" s="73"/>
      <c r="H318" s="73"/>
      <c r="I318" s="73"/>
    </row>
    <row r="319">
      <c r="A319" s="77"/>
      <c r="B319" s="73"/>
      <c r="C319" s="73"/>
      <c r="D319" s="73"/>
      <c r="E319" s="73"/>
      <c r="F319" s="73"/>
      <c r="G319" s="73"/>
      <c r="H319" s="73"/>
      <c r="I319" s="73"/>
    </row>
    <row r="320">
      <c r="A320" s="77"/>
      <c r="B320" s="73"/>
      <c r="C320" s="73"/>
      <c r="D320" s="73"/>
      <c r="E320" s="73"/>
      <c r="F320" s="73"/>
      <c r="G320" s="73"/>
      <c r="H320" s="73"/>
      <c r="I320" s="73"/>
    </row>
    <row r="321">
      <c r="A321" s="77"/>
      <c r="B321" s="73"/>
      <c r="C321" s="73"/>
      <c r="D321" s="73"/>
      <c r="E321" s="73"/>
      <c r="F321" s="73"/>
      <c r="G321" s="73"/>
      <c r="H321" s="73"/>
      <c r="I321" s="73"/>
    </row>
    <row r="322">
      <c r="A322" s="77"/>
      <c r="B322" s="73"/>
      <c r="C322" s="73"/>
      <c r="D322" s="73"/>
      <c r="E322" s="73"/>
      <c r="F322" s="73"/>
      <c r="G322" s="73"/>
      <c r="H322" s="73"/>
      <c r="I322" s="73"/>
    </row>
    <row r="323">
      <c r="A323" s="77"/>
      <c r="B323" s="73"/>
      <c r="C323" s="73"/>
      <c r="D323" s="73"/>
      <c r="E323" s="73"/>
      <c r="F323" s="73"/>
      <c r="G323" s="73"/>
      <c r="H323" s="73"/>
      <c r="I323" s="73"/>
    </row>
    <row r="324">
      <c r="A324" s="77"/>
      <c r="B324" s="73"/>
      <c r="C324" s="73"/>
      <c r="D324" s="73"/>
      <c r="E324" s="73"/>
      <c r="F324" s="73"/>
      <c r="G324" s="73"/>
      <c r="H324" s="73"/>
      <c r="I324" s="73"/>
    </row>
    <row r="325">
      <c r="A325" s="77"/>
      <c r="B325" s="73"/>
      <c r="C325" s="73"/>
      <c r="D325" s="73"/>
      <c r="E325" s="73"/>
      <c r="F325" s="73"/>
      <c r="G325" s="73"/>
      <c r="H325" s="73"/>
      <c r="I325" s="73"/>
    </row>
    <row r="326">
      <c r="A326" s="77"/>
      <c r="B326" s="73"/>
      <c r="C326" s="73"/>
      <c r="D326" s="73"/>
      <c r="E326" s="73"/>
      <c r="F326" s="73"/>
      <c r="G326" s="73"/>
      <c r="H326" s="73"/>
      <c r="I326" s="73"/>
    </row>
    <row r="327">
      <c r="A327" s="77"/>
      <c r="B327" s="73"/>
      <c r="C327" s="73"/>
      <c r="D327" s="73"/>
      <c r="E327" s="73"/>
      <c r="F327" s="73"/>
      <c r="G327" s="73"/>
      <c r="H327" s="73"/>
      <c r="I327" s="73"/>
    </row>
    <row r="328">
      <c r="A328" s="77"/>
      <c r="B328" s="73"/>
      <c r="C328" s="73"/>
      <c r="D328" s="73"/>
      <c r="E328" s="73"/>
      <c r="F328" s="73"/>
      <c r="G328" s="73"/>
      <c r="H328" s="73"/>
      <c r="I328" s="73"/>
    </row>
    <row r="329">
      <c r="A329" s="77"/>
      <c r="B329" s="73"/>
      <c r="C329" s="73"/>
      <c r="D329" s="73"/>
      <c r="E329" s="73"/>
      <c r="F329" s="73"/>
      <c r="G329" s="73"/>
      <c r="H329" s="73"/>
      <c r="I329" s="73"/>
    </row>
    <row r="330">
      <c r="A330" s="77"/>
      <c r="B330" s="73"/>
      <c r="C330" s="73"/>
      <c r="D330" s="73"/>
      <c r="E330" s="73"/>
      <c r="F330" s="73"/>
      <c r="G330" s="73"/>
      <c r="H330" s="73"/>
      <c r="I330" s="73"/>
    </row>
    <row r="331">
      <c r="A331" s="77"/>
      <c r="B331" s="73"/>
      <c r="C331" s="73"/>
      <c r="D331" s="73"/>
      <c r="E331" s="73"/>
      <c r="F331" s="73"/>
      <c r="G331" s="73"/>
      <c r="H331" s="73"/>
      <c r="I331" s="73"/>
    </row>
    <row r="332">
      <c r="A332" s="77"/>
      <c r="B332" s="73"/>
      <c r="C332" s="73"/>
      <c r="D332" s="73"/>
      <c r="E332" s="73"/>
      <c r="F332" s="73"/>
      <c r="G332" s="73"/>
      <c r="H332" s="73"/>
      <c r="I332" s="73"/>
    </row>
    <row r="333">
      <c r="A333" s="77"/>
      <c r="B333" s="73"/>
      <c r="C333" s="73"/>
      <c r="D333" s="73"/>
      <c r="E333" s="73"/>
      <c r="F333" s="73"/>
      <c r="G333" s="73"/>
      <c r="H333" s="73"/>
      <c r="I333" s="73"/>
    </row>
    <row r="334">
      <c r="A334" s="77"/>
      <c r="B334" s="73"/>
      <c r="C334" s="73"/>
      <c r="D334" s="73"/>
      <c r="E334" s="73"/>
      <c r="F334" s="73"/>
      <c r="G334" s="73"/>
      <c r="H334" s="73"/>
      <c r="I334" s="73"/>
    </row>
    <row r="335">
      <c r="A335" s="77"/>
      <c r="B335" s="73"/>
      <c r="C335" s="73"/>
      <c r="D335" s="73"/>
      <c r="E335" s="73"/>
      <c r="F335" s="73"/>
      <c r="G335" s="73"/>
      <c r="H335" s="73"/>
      <c r="I335" s="73"/>
    </row>
    <row r="336">
      <c r="A336" s="77"/>
      <c r="B336" s="73"/>
      <c r="C336" s="73"/>
      <c r="D336" s="73"/>
      <c r="E336" s="73"/>
      <c r="F336" s="73"/>
      <c r="G336" s="73"/>
      <c r="H336" s="73"/>
      <c r="I336" s="73"/>
    </row>
    <row r="337">
      <c r="A337" s="77"/>
      <c r="B337" s="73"/>
      <c r="C337" s="73"/>
      <c r="D337" s="73"/>
      <c r="E337" s="73"/>
      <c r="F337" s="73"/>
      <c r="G337" s="73"/>
      <c r="H337" s="73"/>
      <c r="I337" s="73"/>
    </row>
    <row r="338">
      <c r="A338" s="77"/>
      <c r="B338" s="73"/>
      <c r="C338" s="73"/>
      <c r="D338" s="73"/>
      <c r="E338" s="73"/>
      <c r="F338" s="73"/>
      <c r="G338" s="73"/>
      <c r="H338" s="73"/>
      <c r="I338" s="73"/>
    </row>
    <row r="339">
      <c r="A339" s="77"/>
      <c r="B339" s="73"/>
      <c r="C339" s="73"/>
      <c r="D339" s="73"/>
      <c r="E339" s="73"/>
      <c r="F339" s="73"/>
      <c r="G339" s="73"/>
      <c r="H339" s="73"/>
      <c r="I339" s="73"/>
    </row>
    <row r="340">
      <c r="A340" s="77"/>
      <c r="B340" s="73"/>
      <c r="C340" s="73"/>
      <c r="D340" s="73"/>
      <c r="E340" s="73"/>
      <c r="F340" s="73"/>
      <c r="G340" s="73"/>
      <c r="H340" s="73"/>
      <c r="I340" s="73"/>
    </row>
    <row r="341">
      <c r="A341" s="77"/>
      <c r="B341" s="73"/>
      <c r="C341" s="73"/>
      <c r="D341" s="73"/>
      <c r="E341" s="73"/>
      <c r="F341" s="73"/>
      <c r="G341" s="73"/>
      <c r="H341" s="73"/>
      <c r="I341" s="73"/>
    </row>
    <row r="342">
      <c r="A342" s="77"/>
      <c r="B342" s="73"/>
      <c r="C342" s="73"/>
      <c r="D342" s="73"/>
      <c r="E342" s="73"/>
      <c r="F342" s="73"/>
      <c r="G342" s="73"/>
      <c r="H342" s="73"/>
      <c r="I342" s="73"/>
    </row>
    <row r="343">
      <c r="A343" s="77"/>
      <c r="B343" s="73"/>
      <c r="C343" s="73"/>
      <c r="D343" s="73"/>
      <c r="E343" s="73"/>
      <c r="F343" s="73"/>
      <c r="G343" s="73"/>
      <c r="H343" s="73"/>
      <c r="I343" s="73"/>
    </row>
    <row r="344">
      <c r="A344" s="77"/>
      <c r="B344" s="73"/>
      <c r="C344" s="73"/>
      <c r="D344" s="73"/>
      <c r="E344" s="73"/>
      <c r="F344" s="73"/>
      <c r="G344" s="73"/>
      <c r="H344" s="73"/>
      <c r="I344" s="73"/>
    </row>
    <row r="345">
      <c r="A345" s="77"/>
      <c r="B345" s="73"/>
      <c r="C345" s="73"/>
      <c r="D345" s="73"/>
      <c r="E345" s="73"/>
      <c r="F345" s="73"/>
      <c r="G345" s="73"/>
      <c r="H345" s="73"/>
      <c r="I345" s="73"/>
    </row>
    <row r="346">
      <c r="A346" s="77"/>
      <c r="B346" s="73"/>
      <c r="C346" s="73"/>
      <c r="D346" s="73"/>
      <c r="E346" s="73"/>
      <c r="F346" s="73"/>
      <c r="G346" s="73"/>
      <c r="H346" s="73"/>
      <c r="I346" s="73"/>
    </row>
    <row r="347">
      <c r="A347" s="77"/>
      <c r="B347" s="73"/>
      <c r="C347" s="73"/>
      <c r="D347" s="73"/>
      <c r="E347" s="73"/>
      <c r="F347" s="73"/>
      <c r="G347" s="73"/>
      <c r="H347" s="73"/>
      <c r="I347" s="73"/>
    </row>
    <row r="348">
      <c r="A348" s="77"/>
      <c r="B348" s="73"/>
      <c r="C348" s="73"/>
      <c r="D348" s="73"/>
      <c r="E348" s="73"/>
      <c r="F348" s="73"/>
      <c r="G348" s="73"/>
      <c r="H348" s="73"/>
      <c r="I348" s="73"/>
    </row>
    <row r="349">
      <c r="A349" s="77"/>
      <c r="B349" s="73"/>
      <c r="C349" s="73"/>
      <c r="D349" s="73"/>
      <c r="E349" s="73"/>
      <c r="F349" s="73"/>
      <c r="G349" s="73"/>
      <c r="H349" s="73"/>
      <c r="I349" s="73"/>
    </row>
    <row r="350">
      <c r="A350" s="77"/>
      <c r="B350" s="73"/>
      <c r="C350" s="73"/>
      <c r="D350" s="73"/>
      <c r="E350" s="73"/>
      <c r="F350" s="73"/>
      <c r="G350" s="73"/>
      <c r="H350" s="73"/>
      <c r="I350" s="73"/>
    </row>
    <row r="351">
      <c r="A351" s="77"/>
      <c r="B351" s="73"/>
      <c r="C351" s="73"/>
      <c r="D351" s="73"/>
      <c r="E351" s="73"/>
      <c r="F351" s="73"/>
      <c r="G351" s="73"/>
      <c r="H351" s="73"/>
      <c r="I351" s="73"/>
    </row>
    <row r="352">
      <c r="A352" s="77"/>
      <c r="B352" s="73"/>
      <c r="C352" s="73"/>
      <c r="D352" s="73"/>
      <c r="E352" s="73"/>
      <c r="F352" s="73"/>
      <c r="G352" s="73"/>
      <c r="H352" s="73"/>
      <c r="I352" s="73"/>
    </row>
    <row r="353">
      <c r="A353" s="77"/>
      <c r="B353" s="73"/>
      <c r="C353" s="73"/>
      <c r="D353" s="73"/>
      <c r="E353" s="73"/>
      <c r="F353" s="73"/>
      <c r="G353" s="73"/>
      <c r="H353" s="73"/>
      <c r="I353" s="73"/>
    </row>
    <row r="354">
      <c r="A354" s="77"/>
      <c r="B354" s="73"/>
      <c r="C354" s="73"/>
      <c r="D354" s="73"/>
      <c r="E354" s="73"/>
      <c r="F354" s="73"/>
      <c r="G354" s="73"/>
      <c r="H354" s="73"/>
      <c r="I354" s="73"/>
    </row>
    <row r="355">
      <c r="A355" s="77"/>
      <c r="B355" s="73"/>
      <c r="C355" s="73"/>
      <c r="D355" s="73"/>
      <c r="E355" s="73"/>
      <c r="F355" s="73"/>
      <c r="G355" s="73"/>
      <c r="H355" s="73"/>
      <c r="I355" s="73"/>
    </row>
    <row r="356">
      <c r="A356" s="77"/>
      <c r="B356" s="73"/>
      <c r="C356" s="73"/>
      <c r="D356" s="73"/>
      <c r="E356" s="73"/>
      <c r="F356" s="73"/>
      <c r="G356" s="73"/>
      <c r="H356" s="73"/>
      <c r="I356" s="73"/>
    </row>
    <row r="357">
      <c r="A357" s="77"/>
      <c r="B357" s="73"/>
      <c r="C357" s="73"/>
      <c r="D357" s="73"/>
      <c r="E357" s="73"/>
      <c r="F357" s="73"/>
      <c r="G357" s="73"/>
      <c r="H357" s="73"/>
      <c r="I357" s="73"/>
    </row>
    <row r="358">
      <c r="A358" s="77"/>
      <c r="B358" s="73"/>
      <c r="C358" s="73"/>
      <c r="D358" s="73"/>
      <c r="E358" s="73"/>
      <c r="F358" s="73"/>
      <c r="G358" s="73"/>
      <c r="H358" s="73"/>
      <c r="I358" s="73"/>
    </row>
    <row r="359">
      <c r="A359" s="77"/>
      <c r="B359" s="73"/>
      <c r="C359" s="73"/>
      <c r="D359" s="73"/>
      <c r="E359" s="73"/>
      <c r="F359" s="73"/>
      <c r="G359" s="73"/>
      <c r="H359" s="73"/>
      <c r="I359" s="73"/>
    </row>
    <row r="360">
      <c r="A360" s="77"/>
      <c r="B360" s="73"/>
      <c r="C360" s="73"/>
      <c r="D360" s="73"/>
      <c r="E360" s="73"/>
      <c r="F360" s="73"/>
      <c r="G360" s="73"/>
      <c r="H360" s="73"/>
      <c r="I360" s="73"/>
    </row>
    <row r="361">
      <c r="A361" s="77"/>
      <c r="B361" s="73"/>
      <c r="C361" s="73"/>
      <c r="D361" s="73"/>
      <c r="E361" s="73"/>
      <c r="F361" s="73"/>
      <c r="G361" s="73"/>
      <c r="H361" s="73"/>
      <c r="I361" s="73"/>
    </row>
    <row r="362">
      <c r="A362" s="77"/>
      <c r="B362" s="73"/>
      <c r="C362" s="73"/>
      <c r="D362" s="73"/>
      <c r="E362" s="73"/>
      <c r="F362" s="73"/>
      <c r="G362" s="73"/>
      <c r="H362" s="73"/>
      <c r="I362" s="73"/>
    </row>
    <row r="363">
      <c r="A363" s="77"/>
      <c r="B363" s="73"/>
      <c r="C363" s="73"/>
      <c r="D363" s="73"/>
      <c r="E363" s="73"/>
      <c r="F363" s="73"/>
      <c r="G363" s="73"/>
      <c r="H363" s="73"/>
      <c r="I363" s="73"/>
    </row>
    <row r="364">
      <c r="A364" s="77"/>
      <c r="B364" s="73"/>
      <c r="C364" s="73"/>
      <c r="D364" s="73"/>
      <c r="E364" s="73"/>
      <c r="F364" s="73"/>
      <c r="G364" s="73"/>
      <c r="H364" s="73"/>
      <c r="I364" s="73"/>
    </row>
    <row r="365">
      <c r="A365" s="77"/>
      <c r="B365" s="73"/>
      <c r="C365" s="73"/>
      <c r="D365" s="73"/>
      <c r="E365" s="73"/>
      <c r="F365" s="73"/>
      <c r="G365" s="73"/>
      <c r="H365" s="73"/>
      <c r="I365" s="73"/>
    </row>
    <row r="366">
      <c r="A366" s="77"/>
      <c r="B366" s="73"/>
      <c r="C366" s="73"/>
      <c r="D366" s="73"/>
      <c r="E366" s="73"/>
      <c r="F366" s="73"/>
      <c r="G366" s="73"/>
      <c r="H366" s="73"/>
      <c r="I366" s="73"/>
    </row>
    <row r="367">
      <c r="A367" s="77"/>
      <c r="B367" s="73"/>
      <c r="C367" s="73"/>
      <c r="D367" s="73"/>
      <c r="E367" s="73"/>
      <c r="F367" s="73"/>
      <c r="G367" s="73"/>
      <c r="H367" s="73"/>
      <c r="I367" s="73"/>
    </row>
    <row r="368">
      <c r="A368" s="77"/>
      <c r="B368" s="73"/>
      <c r="C368" s="73"/>
      <c r="D368" s="73"/>
      <c r="E368" s="73"/>
      <c r="F368" s="73"/>
      <c r="G368" s="73"/>
      <c r="H368" s="73"/>
      <c r="I368" s="73"/>
    </row>
    <row r="369">
      <c r="A369" s="77"/>
      <c r="B369" s="73"/>
      <c r="C369" s="73"/>
      <c r="D369" s="73"/>
      <c r="E369" s="73"/>
      <c r="F369" s="73"/>
      <c r="G369" s="73"/>
      <c r="H369" s="73"/>
      <c r="I369" s="73"/>
    </row>
    <row r="370">
      <c r="A370" s="77"/>
      <c r="B370" s="73"/>
      <c r="C370" s="73"/>
      <c r="D370" s="73"/>
      <c r="E370" s="73"/>
      <c r="F370" s="73"/>
      <c r="G370" s="73"/>
      <c r="H370" s="73"/>
      <c r="I370" s="73"/>
    </row>
    <row r="371">
      <c r="A371" s="77"/>
      <c r="B371" s="73"/>
      <c r="C371" s="73"/>
      <c r="D371" s="73"/>
      <c r="E371" s="73"/>
      <c r="F371" s="73"/>
      <c r="G371" s="73"/>
      <c r="H371" s="73"/>
      <c r="I371" s="73"/>
    </row>
    <row r="372">
      <c r="A372" s="77"/>
      <c r="B372" s="73"/>
      <c r="C372" s="73"/>
      <c r="D372" s="73"/>
      <c r="E372" s="73"/>
      <c r="F372" s="73"/>
      <c r="G372" s="73"/>
      <c r="H372" s="73"/>
      <c r="I372" s="73"/>
    </row>
    <row r="373">
      <c r="A373" s="77"/>
      <c r="B373" s="73"/>
      <c r="C373" s="73"/>
      <c r="D373" s="73"/>
      <c r="E373" s="73"/>
      <c r="F373" s="73"/>
      <c r="G373" s="73"/>
      <c r="H373" s="73"/>
      <c r="I373" s="73"/>
    </row>
    <row r="374">
      <c r="A374" s="77"/>
      <c r="B374" s="73"/>
      <c r="C374" s="73"/>
      <c r="D374" s="73"/>
      <c r="E374" s="73"/>
      <c r="F374" s="73"/>
      <c r="G374" s="73"/>
      <c r="H374" s="73"/>
      <c r="I374" s="73"/>
    </row>
    <row r="375">
      <c r="A375" s="77"/>
      <c r="B375" s="73"/>
      <c r="C375" s="73"/>
      <c r="D375" s="73"/>
      <c r="E375" s="73"/>
      <c r="F375" s="73"/>
      <c r="G375" s="73"/>
      <c r="H375" s="73"/>
      <c r="I375" s="73"/>
    </row>
    <row r="376">
      <c r="A376" s="77"/>
      <c r="B376" s="73"/>
      <c r="C376" s="73"/>
      <c r="D376" s="73"/>
      <c r="E376" s="73"/>
      <c r="F376" s="73"/>
      <c r="G376" s="73"/>
      <c r="H376" s="73"/>
      <c r="I376" s="73"/>
    </row>
    <row r="377">
      <c r="A377" s="77"/>
      <c r="B377" s="73"/>
      <c r="C377" s="73"/>
      <c r="D377" s="73"/>
      <c r="E377" s="73"/>
      <c r="F377" s="73"/>
      <c r="G377" s="73"/>
      <c r="H377" s="73"/>
      <c r="I377" s="73"/>
    </row>
    <row r="378">
      <c r="A378" s="77"/>
      <c r="B378" s="73"/>
      <c r="C378" s="73"/>
      <c r="D378" s="73"/>
      <c r="E378" s="73"/>
      <c r="F378" s="73"/>
      <c r="G378" s="73"/>
      <c r="H378" s="73"/>
      <c r="I378" s="73"/>
    </row>
    <row r="379">
      <c r="A379" s="77"/>
      <c r="B379" s="73"/>
      <c r="C379" s="73"/>
      <c r="D379" s="73"/>
      <c r="E379" s="73"/>
      <c r="F379" s="73"/>
      <c r="G379" s="73"/>
      <c r="H379" s="73"/>
      <c r="I379" s="73"/>
    </row>
    <row r="380">
      <c r="A380" s="77"/>
      <c r="B380" s="73"/>
      <c r="C380" s="73"/>
      <c r="D380" s="73"/>
      <c r="E380" s="73"/>
      <c r="F380" s="73"/>
      <c r="G380" s="73"/>
      <c r="H380" s="73"/>
      <c r="I380" s="73"/>
    </row>
    <row r="381">
      <c r="A381" s="77"/>
      <c r="B381" s="73"/>
      <c r="C381" s="73"/>
      <c r="D381" s="73"/>
      <c r="E381" s="73"/>
      <c r="F381" s="73"/>
      <c r="G381" s="73"/>
      <c r="H381" s="73"/>
      <c r="I381" s="73"/>
    </row>
    <row r="382">
      <c r="A382" s="77"/>
      <c r="B382" s="73"/>
      <c r="C382" s="73"/>
      <c r="D382" s="73"/>
      <c r="E382" s="73"/>
      <c r="F382" s="73"/>
      <c r="G382" s="73"/>
      <c r="H382" s="73"/>
      <c r="I382" s="73"/>
    </row>
    <row r="383">
      <c r="A383" s="77"/>
      <c r="B383" s="73"/>
      <c r="C383" s="73"/>
      <c r="D383" s="73"/>
      <c r="E383" s="73"/>
      <c r="F383" s="73"/>
      <c r="G383" s="73"/>
      <c r="H383" s="73"/>
      <c r="I383" s="73"/>
    </row>
    <row r="384">
      <c r="A384" s="77"/>
      <c r="B384" s="73"/>
      <c r="C384" s="73"/>
      <c r="D384" s="73"/>
      <c r="E384" s="73"/>
      <c r="F384" s="73"/>
      <c r="G384" s="73"/>
      <c r="H384" s="73"/>
      <c r="I384" s="73"/>
    </row>
    <row r="385">
      <c r="A385" s="77"/>
      <c r="B385" s="73"/>
      <c r="C385" s="73"/>
      <c r="D385" s="73"/>
      <c r="E385" s="73"/>
      <c r="F385" s="73"/>
      <c r="G385" s="73"/>
      <c r="H385" s="73"/>
      <c r="I385" s="73"/>
    </row>
    <row r="386">
      <c r="A386" s="77"/>
      <c r="B386" s="73"/>
      <c r="C386" s="73"/>
      <c r="D386" s="73"/>
      <c r="E386" s="73"/>
      <c r="F386" s="73"/>
      <c r="G386" s="73"/>
      <c r="H386" s="73"/>
      <c r="I386" s="73"/>
    </row>
    <row r="387">
      <c r="A387" s="77"/>
      <c r="B387" s="73"/>
      <c r="C387" s="73"/>
      <c r="D387" s="73"/>
      <c r="E387" s="73"/>
      <c r="F387" s="73"/>
      <c r="G387" s="73"/>
      <c r="H387" s="73"/>
      <c r="I387" s="73"/>
    </row>
    <row r="388">
      <c r="A388" s="77"/>
      <c r="B388" s="73"/>
      <c r="C388" s="73"/>
      <c r="D388" s="73"/>
      <c r="E388" s="73"/>
      <c r="F388" s="73"/>
      <c r="G388" s="73"/>
      <c r="H388" s="73"/>
      <c r="I388" s="73"/>
    </row>
    <row r="389">
      <c r="A389" s="77"/>
      <c r="B389" s="73"/>
      <c r="C389" s="73"/>
      <c r="D389" s="73"/>
      <c r="E389" s="73"/>
      <c r="F389" s="73"/>
      <c r="G389" s="73"/>
      <c r="H389" s="73"/>
      <c r="I389" s="73"/>
    </row>
    <row r="390">
      <c r="A390" s="77"/>
      <c r="B390" s="73"/>
      <c r="C390" s="73"/>
      <c r="D390" s="73"/>
      <c r="E390" s="73"/>
      <c r="F390" s="73"/>
      <c r="G390" s="73"/>
      <c r="H390" s="73"/>
      <c r="I390" s="73"/>
    </row>
    <row r="391">
      <c r="A391" s="77"/>
      <c r="B391" s="73"/>
      <c r="C391" s="73"/>
      <c r="D391" s="73"/>
      <c r="E391" s="73"/>
      <c r="F391" s="73"/>
      <c r="G391" s="73"/>
      <c r="H391" s="73"/>
      <c r="I391" s="73"/>
    </row>
    <row r="392">
      <c r="A392" s="77"/>
      <c r="B392" s="73"/>
      <c r="C392" s="73"/>
      <c r="D392" s="73"/>
      <c r="E392" s="73"/>
      <c r="F392" s="73"/>
      <c r="G392" s="73"/>
      <c r="H392" s="73"/>
      <c r="I392" s="73"/>
    </row>
    <row r="393">
      <c r="A393" s="77"/>
      <c r="B393" s="73"/>
      <c r="C393" s="73"/>
      <c r="D393" s="73"/>
      <c r="E393" s="73"/>
      <c r="F393" s="73"/>
      <c r="G393" s="73"/>
      <c r="H393" s="73"/>
      <c r="I393" s="73"/>
    </row>
    <row r="394">
      <c r="A394" s="77"/>
      <c r="B394" s="73"/>
      <c r="C394" s="73"/>
      <c r="D394" s="73"/>
      <c r="E394" s="73"/>
      <c r="F394" s="73"/>
      <c r="G394" s="73"/>
      <c r="H394" s="73"/>
      <c r="I394" s="73"/>
    </row>
    <row r="395">
      <c r="A395" s="77"/>
      <c r="B395" s="73"/>
      <c r="C395" s="73"/>
      <c r="D395" s="73"/>
      <c r="E395" s="73"/>
      <c r="F395" s="73"/>
      <c r="G395" s="73"/>
      <c r="H395" s="73"/>
      <c r="I395" s="73"/>
    </row>
    <row r="396">
      <c r="A396" s="77"/>
      <c r="B396" s="73"/>
      <c r="C396" s="73"/>
      <c r="D396" s="73"/>
      <c r="E396" s="73"/>
      <c r="F396" s="73"/>
      <c r="G396" s="73"/>
      <c r="H396" s="73"/>
      <c r="I396" s="73"/>
    </row>
    <row r="397">
      <c r="A397" s="77"/>
      <c r="B397" s="73"/>
      <c r="C397" s="73"/>
      <c r="D397" s="73"/>
      <c r="E397" s="73"/>
      <c r="F397" s="73"/>
      <c r="G397" s="73"/>
      <c r="H397" s="73"/>
      <c r="I397" s="73"/>
    </row>
    <row r="398">
      <c r="A398" s="77"/>
      <c r="B398" s="73"/>
      <c r="C398" s="73"/>
      <c r="D398" s="73"/>
      <c r="E398" s="73"/>
      <c r="F398" s="73"/>
      <c r="G398" s="73"/>
      <c r="H398" s="73"/>
      <c r="I398" s="73"/>
    </row>
    <row r="399">
      <c r="A399" s="77"/>
      <c r="B399" s="73"/>
      <c r="C399" s="73"/>
      <c r="D399" s="73"/>
      <c r="E399" s="73"/>
      <c r="F399" s="73"/>
      <c r="G399" s="73"/>
      <c r="H399" s="73"/>
      <c r="I399" s="73"/>
    </row>
    <row r="400">
      <c r="A400" s="77"/>
      <c r="B400" s="73"/>
      <c r="C400" s="73"/>
      <c r="D400" s="73"/>
      <c r="E400" s="73"/>
      <c r="F400" s="73"/>
      <c r="G400" s="73"/>
      <c r="H400" s="73"/>
      <c r="I400" s="73"/>
    </row>
    <row r="401">
      <c r="A401" s="77"/>
      <c r="B401" s="73"/>
      <c r="C401" s="73"/>
      <c r="D401" s="73"/>
      <c r="E401" s="73"/>
      <c r="F401" s="73"/>
      <c r="G401" s="73"/>
      <c r="H401" s="73"/>
      <c r="I401" s="73"/>
    </row>
    <row r="402">
      <c r="A402" s="77"/>
      <c r="B402" s="73"/>
      <c r="C402" s="73"/>
      <c r="D402" s="73"/>
      <c r="E402" s="73"/>
      <c r="F402" s="73"/>
      <c r="G402" s="73"/>
      <c r="H402" s="73"/>
      <c r="I402" s="73"/>
    </row>
    <row r="403">
      <c r="A403" s="77"/>
      <c r="B403" s="73"/>
      <c r="C403" s="73"/>
      <c r="D403" s="73"/>
      <c r="E403" s="73"/>
      <c r="F403" s="73"/>
      <c r="G403" s="73"/>
      <c r="H403" s="73"/>
      <c r="I403" s="73"/>
    </row>
    <row r="404">
      <c r="A404" s="77"/>
      <c r="B404" s="73"/>
      <c r="C404" s="73"/>
      <c r="D404" s="73"/>
      <c r="E404" s="73"/>
      <c r="F404" s="73"/>
      <c r="G404" s="73"/>
      <c r="H404" s="73"/>
      <c r="I404" s="73"/>
    </row>
    <row r="405">
      <c r="A405" s="77"/>
      <c r="B405" s="73"/>
      <c r="C405" s="73"/>
      <c r="D405" s="73"/>
      <c r="E405" s="73"/>
      <c r="F405" s="73"/>
      <c r="G405" s="73"/>
      <c r="H405" s="73"/>
      <c r="I405" s="73"/>
    </row>
    <row r="406">
      <c r="A406" s="77"/>
      <c r="B406" s="73"/>
      <c r="C406" s="73"/>
      <c r="D406" s="73"/>
      <c r="E406" s="73"/>
      <c r="F406" s="73"/>
      <c r="G406" s="73"/>
      <c r="H406" s="73"/>
      <c r="I406" s="73"/>
    </row>
    <row r="407">
      <c r="A407" s="77"/>
      <c r="B407" s="73"/>
      <c r="C407" s="73"/>
      <c r="D407" s="73"/>
      <c r="E407" s="73"/>
      <c r="F407" s="73"/>
      <c r="G407" s="73"/>
      <c r="H407" s="73"/>
      <c r="I407" s="73"/>
    </row>
    <row r="408">
      <c r="A408" s="77"/>
      <c r="B408" s="73"/>
      <c r="C408" s="73"/>
      <c r="D408" s="73"/>
      <c r="E408" s="73"/>
      <c r="F408" s="73"/>
      <c r="G408" s="73"/>
      <c r="H408" s="73"/>
      <c r="I408" s="73"/>
    </row>
    <row r="409">
      <c r="A409" s="77"/>
      <c r="B409" s="73"/>
      <c r="C409" s="73"/>
      <c r="D409" s="73"/>
      <c r="E409" s="73"/>
      <c r="F409" s="73"/>
      <c r="G409" s="73"/>
      <c r="H409" s="73"/>
      <c r="I409" s="73"/>
    </row>
    <row r="410">
      <c r="A410" s="77"/>
      <c r="B410" s="73"/>
      <c r="C410" s="73"/>
      <c r="D410" s="73"/>
      <c r="E410" s="73"/>
      <c r="F410" s="73"/>
      <c r="G410" s="73"/>
      <c r="H410" s="73"/>
      <c r="I410" s="73"/>
    </row>
    <row r="411">
      <c r="A411" s="77"/>
      <c r="B411" s="73"/>
      <c r="C411" s="73"/>
      <c r="D411" s="73"/>
      <c r="E411" s="73"/>
      <c r="F411" s="73"/>
      <c r="G411" s="73"/>
      <c r="H411" s="73"/>
      <c r="I411" s="73"/>
    </row>
    <row r="412">
      <c r="A412" s="77"/>
      <c r="B412" s="73"/>
      <c r="C412" s="73"/>
      <c r="D412" s="73"/>
      <c r="E412" s="73"/>
      <c r="F412" s="73"/>
      <c r="G412" s="73"/>
      <c r="H412" s="73"/>
      <c r="I412" s="73"/>
    </row>
    <row r="413">
      <c r="A413" s="77"/>
      <c r="B413" s="73"/>
      <c r="C413" s="73"/>
      <c r="D413" s="73"/>
      <c r="E413" s="73"/>
      <c r="F413" s="73"/>
      <c r="G413" s="73"/>
      <c r="H413" s="73"/>
      <c r="I413" s="73"/>
    </row>
    <row r="414">
      <c r="A414" s="77"/>
      <c r="B414" s="73"/>
      <c r="C414" s="73"/>
      <c r="D414" s="73"/>
      <c r="E414" s="73"/>
      <c r="F414" s="73"/>
      <c r="G414" s="73"/>
      <c r="H414" s="73"/>
      <c r="I414" s="73"/>
    </row>
    <row r="415">
      <c r="A415" s="77"/>
      <c r="B415" s="73"/>
      <c r="C415" s="73"/>
      <c r="D415" s="73"/>
      <c r="E415" s="73"/>
      <c r="F415" s="73"/>
      <c r="G415" s="73"/>
      <c r="H415" s="73"/>
      <c r="I415" s="73"/>
    </row>
    <row r="416">
      <c r="A416" s="77"/>
      <c r="B416" s="73"/>
      <c r="C416" s="73"/>
      <c r="D416" s="73"/>
      <c r="E416" s="73"/>
      <c r="F416" s="73"/>
      <c r="G416" s="73"/>
      <c r="H416" s="73"/>
      <c r="I416" s="73"/>
    </row>
    <row r="417">
      <c r="A417" s="77"/>
      <c r="B417" s="73"/>
      <c r="C417" s="73"/>
      <c r="D417" s="73"/>
      <c r="E417" s="73"/>
      <c r="F417" s="73"/>
      <c r="G417" s="73"/>
      <c r="H417" s="73"/>
      <c r="I417" s="73"/>
    </row>
    <row r="418">
      <c r="A418" s="77"/>
      <c r="B418" s="73"/>
      <c r="C418" s="73"/>
      <c r="D418" s="73"/>
      <c r="E418" s="73"/>
      <c r="F418" s="73"/>
      <c r="G418" s="73"/>
      <c r="H418" s="73"/>
      <c r="I418" s="73"/>
    </row>
    <row r="419">
      <c r="A419" s="77"/>
      <c r="B419" s="73"/>
      <c r="C419" s="73"/>
      <c r="D419" s="73"/>
      <c r="E419" s="73"/>
      <c r="F419" s="73"/>
      <c r="G419" s="73"/>
      <c r="H419" s="73"/>
      <c r="I419" s="73"/>
    </row>
    <row r="420">
      <c r="A420" s="77"/>
      <c r="B420" s="73"/>
      <c r="C420" s="73"/>
      <c r="D420" s="73"/>
      <c r="E420" s="73"/>
      <c r="F420" s="73"/>
      <c r="G420" s="73"/>
      <c r="H420" s="73"/>
      <c r="I420" s="73"/>
    </row>
    <row r="421">
      <c r="A421" s="77"/>
      <c r="B421" s="73"/>
      <c r="C421" s="73"/>
      <c r="D421" s="73"/>
      <c r="E421" s="73"/>
      <c r="F421" s="73"/>
      <c r="G421" s="73"/>
      <c r="H421" s="73"/>
      <c r="I421" s="73"/>
    </row>
    <row r="422">
      <c r="A422" s="77"/>
      <c r="B422" s="73"/>
      <c r="C422" s="73"/>
      <c r="D422" s="73"/>
      <c r="E422" s="73"/>
      <c r="F422" s="73"/>
      <c r="G422" s="73"/>
      <c r="H422" s="73"/>
      <c r="I422" s="73"/>
    </row>
    <row r="423">
      <c r="A423" s="77"/>
      <c r="B423" s="73"/>
      <c r="C423" s="73"/>
      <c r="D423" s="73"/>
      <c r="E423" s="73"/>
      <c r="F423" s="73"/>
      <c r="G423" s="73"/>
      <c r="H423" s="73"/>
      <c r="I423" s="73"/>
    </row>
    <row r="424">
      <c r="A424" s="77"/>
      <c r="B424" s="73"/>
      <c r="C424" s="73"/>
      <c r="D424" s="73"/>
      <c r="E424" s="73"/>
      <c r="F424" s="73"/>
      <c r="G424" s="73"/>
      <c r="H424" s="73"/>
      <c r="I424" s="73"/>
    </row>
    <row r="425">
      <c r="A425" s="77"/>
      <c r="B425" s="73"/>
      <c r="C425" s="73"/>
      <c r="D425" s="73"/>
      <c r="E425" s="73"/>
      <c r="F425" s="73"/>
      <c r="G425" s="73"/>
      <c r="H425" s="73"/>
      <c r="I425" s="73"/>
    </row>
    <row r="426">
      <c r="A426" s="77"/>
      <c r="B426" s="73"/>
      <c r="C426" s="73"/>
      <c r="D426" s="73"/>
      <c r="E426" s="73"/>
      <c r="F426" s="73"/>
      <c r="G426" s="73"/>
      <c r="H426" s="73"/>
      <c r="I426" s="73"/>
    </row>
    <row r="427">
      <c r="A427" s="77"/>
      <c r="B427" s="73"/>
      <c r="C427" s="73"/>
      <c r="D427" s="73"/>
      <c r="E427" s="73"/>
      <c r="F427" s="73"/>
      <c r="G427" s="73"/>
      <c r="H427" s="73"/>
      <c r="I427" s="73"/>
    </row>
    <row r="428">
      <c r="A428" s="77"/>
      <c r="B428" s="73"/>
      <c r="C428" s="73"/>
      <c r="D428" s="73"/>
      <c r="E428" s="73"/>
      <c r="F428" s="73"/>
      <c r="G428" s="73"/>
      <c r="H428" s="73"/>
      <c r="I428" s="73"/>
    </row>
    <row r="429">
      <c r="A429" s="77"/>
      <c r="B429" s="73"/>
      <c r="C429" s="73"/>
      <c r="D429" s="73"/>
      <c r="E429" s="73"/>
      <c r="F429" s="73"/>
      <c r="G429" s="73"/>
      <c r="H429" s="73"/>
      <c r="I429" s="73"/>
    </row>
    <row r="430">
      <c r="A430" s="77"/>
      <c r="B430" s="73"/>
      <c r="C430" s="73"/>
      <c r="D430" s="73"/>
      <c r="E430" s="73"/>
      <c r="F430" s="73"/>
      <c r="G430" s="73"/>
      <c r="H430" s="73"/>
      <c r="I430" s="73"/>
    </row>
    <row r="431">
      <c r="A431" s="77"/>
      <c r="B431" s="73"/>
      <c r="C431" s="73"/>
      <c r="D431" s="73"/>
      <c r="E431" s="73"/>
      <c r="F431" s="73"/>
      <c r="G431" s="73"/>
      <c r="H431" s="73"/>
      <c r="I431" s="73"/>
    </row>
    <row r="432">
      <c r="A432" s="77"/>
      <c r="B432" s="73"/>
      <c r="C432" s="73"/>
      <c r="D432" s="73"/>
      <c r="E432" s="73"/>
      <c r="F432" s="73"/>
      <c r="G432" s="73"/>
      <c r="H432" s="73"/>
      <c r="I432" s="73"/>
    </row>
    <row r="433">
      <c r="A433" s="77"/>
      <c r="B433" s="73"/>
      <c r="C433" s="73"/>
      <c r="D433" s="73"/>
      <c r="E433" s="73"/>
      <c r="F433" s="73"/>
      <c r="G433" s="73"/>
      <c r="H433" s="73"/>
      <c r="I433" s="73"/>
    </row>
    <row r="434">
      <c r="A434" s="77"/>
      <c r="B434" s="73"/>
      <c r="C434" s="73"/>
      <c r="D434" s="73"/>
      <c r="E434" s="73"/>
      <c r="F434" s="73"/>
      <c r="G434" s="73"/>
      <c r="H434" s="73"/>
      <c r="I434" s="73"/>
    </row>
    <row r="435">
      <c r="A435" s="77"/>
      <c r="B435" s="73"/>
      <c r="C435" s="73"/>
      <c r="D435" s="73"/>
      <c r="E435" s="73"/>
      <c r="F435" s="73"/>
      <c r="G435" s="73"/>
      <c r="H435" s="73"/>
      <c r="I435" s="73"/>
    </row>
    <row r="436">
      <c r="A436" s="77"/>
      <c r="B436" s="73"/>
      <c r="C436" s="73"/>
      <c r="D436" s="73"/>
      <c r="E436" s="73"/>
      <c r="F436" s="73"/>
      <c r="G436" s="73"/>
      <c r="H436" s="73"/>
      <c r="I436" s="73"/>
    </row>
    <row r="437">
      <c r="A437" s="77"/>
      <c r="B437" s="73"/>
      <c r="C437" s="73"/>
      <c r="D437" s="73"/>
      <c r="E437" s="73"/>
      <c r="F437" s="73"/>
      <c r="G437" s="73"/>
      <c r="H437" s="73"/>
      <c r="I437" s="73"/>
    </row>
    <row r="438">
      <c r="A438" s="77"/>
      <c r="B438" s="73"/>
      <c r="C438" s="73"/>
      <c r="D438" s="73"/>
      <c r="E438" s="73"/>
      <c r="F438" s="73"/>
      <c r="G438" s="73"/>
      <c r="H438" s="73"/>
      <c r="I438" s="73"/>
    </row>
    <row r="439">
      <c r="A439" s="77"/>
      <c r="B439" s="73"/>
      <c r="C439" s="73"/>
      <c r="D439" s="73"/>
      <c r="E439" s="73"/>
      <c r="F439" s="73"/>
      <c r="G439" s="73"/>
      <c r="H439" s="73"/>
      <c r="I439" s="73"/>
    </row>
    <row r="440">
      <c r="A440" s="77"/>
      <c r="B440" s="73"/>
      <c r="C440" s="73"/>
      <c r="D440" s="73"/>
      <c r="E440" s="73"/>
      <c r="F440" s="73"/>
      <c r="G440" s="73"/>
      <c r="H440" s="73"/>
      <c r="I440" s="73"/>
    </row>
    <row r="441">
      <c r="A441" s="77"/>
      <c r="B441" s="73"/>
      <c r="C441" s="73"/>
      <c r="D441" s="73"/>
      <c r="E441" s="73"/>
      <c r="F441" s="73"/>
      <c r="G441" s="73"/>
      <c r="H441" s="73"/>
      <c r="I441" s="73"/>
    </row>
    <row r="442">
      <c r="A442" s="77"/>
      <c r="B442" s="73"/>
      <c r="C442" s="73"/>
      <c r="D442" s="73"/>
      <c r="E442" s="73"/>
      <c r="F442" s="73"/>
      <c r="G442" s="73"/>
      <c r="H442" s="73"/>
      <c r="I442" s="73"/>
    </row>
    <row r="443">
      <c r="A443" s="77"/>
      <c r="B443" s="73"/>
      <c r="C443" s="73"/>
      <c r="D443" s="73"/>
      <c r="E443" s="73"/>
      <c r="F443" s="73"/>
      <c r="G443" s="73"/>
      <c r="H443" s="73"/>
      <c r="I443" s="73"/>
    </row>
    <row r="444">
      <c r="A444" s="77"/>
      <c r="B444" s="73"/>
      <c r="C444" s="73"/>
      <c r="D444" s="73"/>
      <c r="E444" s="73"/>
      <c r="F444" s="73"/>
      <c r="G444" s="73"/>
      <c r="H444" s="73"/>
      <c r="I444" s="73"/>
    </row>
    <row r="445">
      <c r="A445" s="77"/>
      <c r="B445" s="73"/>
      <c r="C445" s="73"/>
      <c r="D445" s="73"/>
      <c r="E445" s="73"/>
      <c r="F445" s="73"/>
      <c r="G445" s="73"/>
      <c r="H445" s="73"/>
      <c r="I445" s="73"/>
    </row>
    <row r="446">
      <c r="A446" s="77"/>
      <c r="B446" s="73"/>
      <c r="C446" s="73"/>
      <c r="D446" s="73"/>
      <c r="E446" s="73"/>
      <c r="F446" s="73"/>
      <c r="G446" s="73"/>
      <c r="H446" s="73"/>
      <c r="I446" s="73"/>
    </row>
    <row r="447">
      <c r="A447" s="77"/>
      <c r="B447" s="73"/>
      <c r="C447" s="73"/>
      <c r="D447" s="73"/>
      <c r="E447" s="73"/>
      <c r="F447" s="73"/>
      <c r="G447" s="73"/>
      <c r="H447" s="73"/>
      <c r="I447" s="73"/>
    </row>
    <row r="448">
      <c r="A448" s="77"/>
      <c r="B448" s="73"/>
      <c r="C448" s="73"/>
      <c r="D448" s="73"/>
      <c r="E448" s="73"/>
      <c r="F448" s="73"/>
      <c r="G448" s="73"/>
      <c r="H448" s="73"/>
      <c r="I448" s="73"/>
    </row>
    <row r="449">
      <c r="A449" s="77"/>
      <c r="B449" s="73"/>
      <c r="C449" s="73"/>
      <c r="D449" s="73"/>
      <c r="E449" s="73"/>
      <c r="F449" s="73"/>
      <c r="G449" s="73"/>
      <c r="H449" s="73"/>
      <c r="I449" s="73"/>
    </row>
    <row r="450">
      <c r="A450" s="77"/>
      <c r="B450" s="73"/>
      <c r="C450" s="73"/>
      <c r="D450" s="73"/>
      <c r="E450" s="73"/>
      <c r="F450" s="73"/>
      <c r="G450" s="73"/>
      <c r="H450" s="73"/>
      <c r="I450" s="73"/>
    </row>
    <row r="451">
      <c r="A451" s="77"/>
      <c r="B451" s="73"/>
      <c r="C451" s="73"/>
      <c r="D451" s="73"/>
      <c r="E451" s="73"/>
      <c r="F451" s="73"/>
      <c r="G451" s="73"/>
      <c r="H451" s="73"/>
      <c r="I451" s="73"/>
    </row>
    <row r="452">
      <c r="A452" s="77"/>
      <c r="B452" s="73"/>
      <c r="C452" s="73"/>
      <c r="D452" s="73"/>
      <c r="E452" s="73"/>
      <c r="F452" s="73"/>
      <c r="G452" s="73"/>
      <c r="H452" s="73"/>
      <c r="I452" s="73"/>
    </row>
    <row r="453">
      <c r="A453" s="77"/>
      <c r="B453" s="73"/>
      <c r="C453" s="73"/>
      <c r="D453" s="73"/>
      <c r="E453" s="73"/>
      <c r="F453" s="73"/>
      <c r="G453" s="73"/>
      <c r="H453" s="73"/>
      <c r="I453" s="73"/>
    </row>
    <row r="454">
      <c r="A454" s="77"/>
      <c r="B454" s="73"/>
      <c r="C454" s="73"/>
      <c r="D454" s="73"/>
      <c r="E454" s="73"/>
      <c r="F454" s="73"/>
      <c r="G454" s="73"/>
      <c r="H454" s="73"/>
      <c r="I454" s="73"/>
    </row>
    <row r="455">
      <c r="A455" s="77"/>
      <c r="B455" s="73"/>
      <c r="C455" s="73"/>
      <c r="D455" s="73"/>
      <c r="E455" s="73"/>
      <c r="F455" s="73"/>
      <c r="G455" s="73"/>
      <c r="H455" s="73"/>
      <c r="I455" s="73"/>
    </row>
    <row r="456">
      <c r="A456" s="77"/>
      <c r="B456" s="73"/>
      <c r="C456" s="73"/>
      <c r="D456" s="73"/>
      <c r="E456" s="73"/>
      <c r="F456" s="73"/>
      <c r="G456" s="73"/>
      <c r="H456" s="73"/>
      <c r="I456" s="73"/>
    </row>
    <row r="457">
      <c r="A457" s="77"/>
      <c r="B457" s="73"/>
      <c r="C457" s="73"/>
      <c r="D457" s="73"/>
      <c r="E457" s="73"/>
      <c r="F457" s="73"/>
      <c r="G457" s="73"/>
      <c r="H457" s="73"/>
      <c r="I457" s="73"/>
    </row>
    <row r="458">
      <c r="A458" s="77"/>
      <c r="B458" s="73"/>
      <c r="C458" s="73"/>
      <c r="D458" s="73"/>
      <c r="E458" s="73"/>
      <c r="F458" s="73"/>
      <c r="G458" s="73"/>
      <c r="H458" s="73"/>
      <c r="I458" s="73"/>
    </row>
    <row r="459">
      <c r="A459" s="77"/>
      <c r="B459" s="73"/>
      <c r="C459" s="73"/>
      <c r="D459" s="73"/>
      <c r="E459" s="73"/>
      <c r="F459" s="73"/>
      <c r="G459" s="73"/>
      <c r="H459" s="73"/>
      <c r="I459" s="73"/>
    </row>
    <row r="460">
      <c r="A460" s="77"/>
      <c r="B460" s="73"/>
      <c r="C460" s="73"/>
      <c r="D460" s="73"/>
      <c r="E460" s="73"/>
      <c r="F460" s="73"/>
      <c r="G460" s="73"/>
      <c r="H460" s="73"/>
      <c r="I460" s="73"/>
    </row>
    <row r="461">
      <c r="A461" s="77"/>
      <c r="B461" s="73"/>
      <c r="C461" s="73"/>
      <c r="D461" s="73"/>
      <c r="E461" s="73"/>
      <c r="F461" s="73"/>
      <c r="G461" s="73"/>
      <c r="H461" s="73"/>
      <c r="I461" s="73"/>
    </row>
    <row r="462">
      <c r="A462" s="77"/>
      <c r="B462" s="73"/>
      <c r="C462" s="73"/>
      <c r="D462" s="73"/>
      <c r="E462" s="73"/>
      <c r="F462" s="73"/>
      <c r="G462" s="73"/>
      <c r="H462" s="73"/>
      <c r="I462" s="73"/>
    </row>
    <row r="463">
      <c r="A463" s="77"/>
      <c r="B463" s="73"/>
      <c r="C463" s="73"/>
      <c r="D463" s="73"/>
      <c r="E463" s="73"/>
      <c r="F463" s="73"/>
      <c r="G463" s="73"/>
      <c r="H463" s="73"/>
      <c r="I463" s="73"/>
    </row>
    <row r="464">
      <c r="A464" s="77"/>
      <c r="B464" s="73"/>
      <c r="C464" s="73"/>
      <c r="D464" s="73"/>
      <c r="E464" s="73"/>
      <c r="F464" s="73"/>
      <c r="G464" s="73"/>
      <c r="H464" s="73"/>
      <c r="I464" s="73"/>
    </row>
    <row r="465">
      <c r="A465" s="77"/>
      <c r="B465" s="73"/>
      <c r="C465" s="73"/>
      <c r="D465" s="73"/>
      <c r="E465" s="73"/>
      <c r="F465" s="73"/>
      <c r="G465" s="73"/>
      <c r="H465" s="73"/>
      <c r="I465" s="73"/>
    </row>
    <row r="466">
      <c r="A466" s="77"/>
      <c r="B466" s="73"/>
      <c r="C466" s="73"/>
      <c r="D466" s="73"/>
      <c r="E466" s="73"/>
      <c r="F466" s="73"/>
      <c r="G466" s="73"/>
      <c r="H466" s="73"/>
      <c r="I466" s="73"/>
    </row>
    <row r="467">
      <c r="A467" s="77"/>
      <c r="B467" s="73"/>
      <c r="C467" s="73"/>
      <c r="D467" s="73"/>
      <c r="E467" s="73"/>
      <c r="F467" s="73"/>
      <c r="G467" s="73"/>
      <c r="H467" s="73"/>
      <c r="I467" s="73"/>
    </row>
    <row r="468">
      <c r="A468" s="77"/>
      <c r="B468" s="73"/>
      <c r="C468" s="73"/>
      <c r="D468" s="73"/>
      <c r="E468" s="73"/>
      <c r="F468" s="73"/>
      <c r="G468" s="73"/>
      <c r="H468" s="73"/>
      <c r="I468" s="73"/>
    </row>
    <row r="469">
      <c r="A469" s="77"/>
      <c r="B469" s="73"/>
      <c r="C469" s="73"/>
      <c r="D469" s="73"/>
      <c r="E469" s="73"/>
      <c r="F469" s="73"/>
      <c r="G469" s="73"/>
      <c r="H469" s="73"/>
      <c r="I469" s="73"/>
    </row>
    <row r="470">
      <c r="A470" s="77"/>
      <c r="B470" s="73"/>
      <c r="C470" s="73"/>
      <c r="D470" s="73"/>
      <c r="E470" s="73"/>
      <c r="F470" s="73"/>
      <c r="G470" s="73"/>
      <c r="H470" s="73"/>
      <c r="I470" s="73"/>
    </row>
    <row r="471">
      <c r="A471" s="77"/>
      <c r="B471" s="73"/>
      <c r="C471" s="73"/>
      <c r="D471" s="73"/>
      <c r="E471" s="73"/>
      <c r="F471" s="73"/>
      <c r="G471" s="73"/>
      <c r="H471" s="73"/>
      <c r="I471" s="73"/>
    </row>
    <row r="472">
      <c r="A472" s="77"/>
      <c r="B472" s="73"/>
      <c r="C472" s="73"/>
      <c r="D472" s="73"/>
      <c r="E472" s="73"/>
      <c r="F472" s="73"/>
      <c r="G472" s="73"/>
      <c r="H472" s="73"/>
      <c r="I472" s="73"/>
    </row>
    <row r="473">
      <c r="A473" s="77"/>
      <c r="B473" s="73"/>
      <c r="C473" s="73"/>
      <c r="D473" s="73"/>
      <c r="E473" s="73"/>
      <c r="F473" s="73"/>
      <c r="G473" s="73"/>
      <c r="H473" s="73"/>
      <c r="I473" s="73"/>
    </row>
    <row r="474">
      <c r="A474" s="77"/>
      <c r="B474" s="73"/>
      <c r="C474" s="73"/>
      <c r="D474" s="73"/>
      <c r="E474" s="73"/>
      <c r="F474" s="73"/>
      <c r="G474" s="73"/>
      <c r="H474" s="73"/>
      <c r="I474" s="73"/>
    </row>
    <row r="475">
      <c r="A475" s="77"/>
      <c r="B475" s="73"/>
      <c r="C475" s="73"/>
      <c r="D475" s="73"/>
      <c r="E475" s="73"/>
      <c r="F475" s="73"/>
      <c r="G475" s="73"/>
      <c r="H475" s="73"/>
      <c r="I475" s="73"/>
    </row>
    <row r="476">
      <c r="A476" s="77"/>
      <c r="B476" s="73"/>
      <c r="C476" s="73"/>
      <c r="D476" s="73"/>
      <c r="E476" s="73"/>
      <c r="F476" s="73"/>
      <c r="G476" s="73"/>
      <c r="H476" s="73"/>
      <c r="I476" s="73"/>
    </row>
    <row r="477">
      <c r="A477" s="77"/>
      <c r="B477" s="73"/>
      <c r="C477" s="73"/>
      <c r="D477" s="73"/>
      <c r="E477" s="73"/>
      <c r="F477" s="73"/>
      <c r="G477" s="73"/>
      <c r="H477" s="73"/>
      <c r="I477" s="73"/>
    </row>
    <row r="478">
      <c r="A478" s="77"/>
      <c r="B478" s="73"/>
      <c r="C478" s="73"/>
      <c r="D478" s="73"/>
      <c r="E478" s="73"/>
      <c r="F478" s="73"/>
      <c r="G478" s="73"/>
      <c r="H478" s="73"/>
      <c r="I478" s="73"/>
    </row>
    <row r="479">
      <c r="A479" s="77"/>
      <c r="B479" s="73"/>
      <c r="C479" s="73"/>
      <c r="D479" s="73"/>
      <c r="E479" s="73"/>
      <c r="F479" s="73"/>
      <c r="G479" s="73"/>
      <c r="H479" s="73"/>
      <c r="I479" s="73"/>
    </row>
    <row r="480">
      <c r="A480" s="77"/>
      <c r="B480" s="73"/>
      <c r="C480" s="73"/>
      <c r="D480" s="73"/>
      <c r="E480" s="73"/>
      <c r="F480" s="73"/>
      <c r="G480" s="73"/>
      <c r="H480" s="73"/>
      <c r="I480" s="73"/>
    </row>
    <row r="481">
      <c r="A481" s="77"/>
      <c r="B481" s="73"/>
      <c r="C481" s="73"/>
      <c r="D481" s="73"/>
      <c r="E481" s="73"/>
      <c r="F481" s="73"/>
      <c r="G481" s="73"/>
      <c r="H481" s="73"/>
      <c r="I481" s="73"/>
    </row>
    <row r="482">
      <c r="A482" s="77"/>
      <c r="B482" s="73"/>
      <c r="C482" s="73"/>
      <c r="D482" s="73"/>
      <c r="E482" s="73"/>
      <c r="F482" s="73"/>
      <c r="G482" s="73"/>
      <c r="H482" s="73"/>
      <c r="I482" s="73"/>
    </row>
    <row r="483">
      <c r="A483" s="77"/>
      <c r="B483" s="73"/>
      <c r="C483" s="73"/>
      <c r="D483" s="73"/>
      <c r="E483" s="73"/>
      <c r="F483" s="73"/>
      <c r="G483" s="73"/>
      <c r="H483" s="73"/>
      <c r="I483" s="73"/>
    </row>
    <row r="484">
      <c r="A484" s="77"/>
      <c r="B484" s="73"/>
      <c r="C484" s="73"/>
      <c r="D484" s="73"/>
      <c r="E484" s="73"/>
      <c r="F484" s="73"/>
      <c r="G484" s="73"/>
      <c r="H484" s="73"/>
      <c r="I484" s="73"/>
    </row>
    <row r="485">
      <c r="A485" s="77"/>
      <c r="B485" s="73"/>
      <c r="C485" s="73"/>
      <c r="D485" s="73"/>
      <c r="E485" s="73"/>
      <c r="F485" s="73"/>
      <c r="G485" s="73"/>
      <c r="H485" s="73"/>
      <c r="I485" s="73"/>
    </row>
    <row r="486">
      <c r="A486" s="77"/>
      <c r="B486" s="73"/>
      <c r="C486" s="73"/>
      <c r="D486" s="73"/>
      <c r="E486" s="73"/>
      <c r="F486" s="73"/>
      <c r="G486" s="73"/>
      <c r="H486" s="73"/>
      <c r="I486" s="73"/>
    </row>
    <row r="487">
      <c r="A487" s="77"/>
      <c r="B487" s="73"/>
      <c r="C487" s="73"/>
      <c r="D487" s="73"/>
      <c r="E487" s="73"/>
      <c r="F487" s="73"/>
      <c r="G487" s="73"/>
      <c r="H487" s="73"/>
      <c r="I487" s="73"/>
    </row>
    <row r="488">
      <c r="A488" s="77"/>
      <c r="B488" s="73"/>
      <c r="C488" s="73"/>
      <c r="D488" s="73"/>
      <c r="E488" s="73"/>
      <c r="F488" s="73"/>
      <c r="G488" s="73"/>
      <c r="H488" s="73"/>
      <c r="I488" s="73"/>
    </row>
    <row r="489">
      <c r="A489" s="77"/>
      <c r="B489" s="73"/>
      <c r="C489" s="73"/>
      <c r="D489" s="73"/>
      <c r="E489" s="73"/>
      <c r="F489" s="73"/>
      <c r="G489" s="73"/>
      <c r="H489" s="73"/>
      <c r="I489" s="73"/>
    </row>
    <row r="490">
      <c r="A490" s="77"/>
      <c r="B490" s="73"/>
      <c r="C490" s="73"/>
      <c r="D490" s="73"/>
      <c r="E490" s="73"/>
      <c r="F490" s="73"/>
      <c r="G490" s="73"/>
      <c r="H490" s="73"/>
      <c r="I490" s="73"/>
    </row>
    <row r="491">
      <c r="A491" s="77"/>
      <c r="B491" s="73"/>
      <c r="C491" s="73"/>
      <c r="D491" s="73"/>
      <c r="E491" s="73"/>
      <c r="F491" s="73"/>
      <c r="G491" s="73"/>
      <c r="H491" s="73"/>
      <c r="I491" s="73"/>
    </row>
    <row r="492">
      <c r="A492" s="77"/>
      <c r="B492" s="73"/>
      <c r="C492" s="73"/>
      <c r="D492" s="73"/>
      <c r="E492" s="73"/>
      <c r="F492" s="73"/>
      <c r="G492" s="73"/>
      <c r="H492" s="73"/>
      <c r="I492" s="73"/>
    </row>
    <row r="493">
      <c r="A493" s="77"/>
      <c r="B493" s="73"/>
      <c r="C493" s="73"/>
      <c r="D493" s="73"/>
      <c r="E493" s="73"/>
      <c r="F493" s="73"/>
      <c r="G493" s="73"/>
      <c r="H493" s="73"/>
      <c r="I493" s="73"/>
    </row>
    <row r="494">
      <c r="A494" s="77"/>
      <c r="B494" s="73"/>
      <c r="C494" s="73"/>
      <c r="D494" s="73"/>
      <c r="E494" s="73"/>
      <c r="F494" s="73"/>
      <c r="G494" s="73"/>
      <c r="H494" s="73"/>
      <c r="I494" s="73"/>
    </row>
    <row r="495">
      <c r="A495" s="77"/>
      <c r="B495" s="73"/>
      <c r="C495" s="73"/>
      <c r="D495" s="73"/>
      <c r="E495" s="73"/>
      <c r="F495" s="73"/>
      <c r="G495" s="73"/>
      <c r="H495" s="73"/>
      <c r="I495" s="73"/>
    </row>
    <row r="496">
      <c r="A496" s="77"/>
      <c r="B496" s="73"/>
      <c r="C496" s="73"/>
      <c r="D496" s="73"/>
      <c r="E496" s="73"/>
      <c r="F496" s="73"/>
      <c r="G496" s="73"/>
      <c r="H496" s="73"/>
      <c r="I496" s="73"/>
    </row>
    <row r="497">
      <c r="A497" s="77"/>
      <c r="B497" s="73"/>
      <c r="C497" s="73"/>
      <c r="D497" s="73"/>
      <c r="E497" s="73"/>
      <c r="F497" s="73"/>
      <c r="G497" s="73"/>
      <c r="H497" s="73"/>
      <c r="I497" s="73"/>
    </row>
    <row r="498">
      <c r="A498" s="77"/>
      <c r="B498" s="73"/>
      <c r="C498" s="73"/>
      <c r="D498" s="73"/>
      <c r="E498" s="73"/>
      <c r="F498" s="73"/>
      <c r="G498" s="73"/>
      <c r="H498" s="73"/>
      <c r="I498" s="73"/>
    </row>
    <row r="499">
      <c r="A499" s="77"/>
      <c r="B499" s="73"/>
      <c r="C499" s="73"/>
      <c r="D499" s="73"/>
      <c r="E499" s="73"/>
      <c r="F499" s="73"/>
      <c r="G499" s="73"/>
      <c r="H499" s="73"/>
      <c r="I499" s="73"/>
    </row>
    <row r="500">
      <c r="A500" s="77"/>
      <c r="B500" s="73"/>
      <c r="C500" s="73"/>
      <c r="D500" s="73"/>
      <c r="E500" s="73"/>
      <c r="F500" s="73"/>
      <c r="G500" s="73"/>
      <c r="H500" s="73"/>
      <c r="I500" s="73"/>
    </row>
    <row r="501">
      <c r="A501" s="77"/>
      <c r="B501" s="73"/>
      <c r="C501" s="73"/>
      <c r="D501" s="73"/>
      <c r="E501" s="73"/>
      <c r="F501" s="73"/>
      <c r="G501" s="73"/>
      <c r="H501" s="73"/>
      <c r="I501" s="73"/>
    </row>
    <row r="502">
      <c r="A502" s="77"/>
      <c r="B502" s="73"/>
      <c r="C502" s="73"/>
      <c r="D502" s="73"/>
      <c r="E502" s="73"/>
      <c r="F502" s="73"/>
      <c r="G502" s="73"/>
      <c r="H502" s="73"/>
      <c r="I502" s="73"/>
    </row>
    <row r="503">
      <c r="A503" s="77"/>
      <c r="B503" s="73"/>
      <c r="C503" s="73"/>
      <c r="D503" s="73"/>
      <c r="E503" s="73"/>
      <c r="F503" s="73"/>
      <c r="G503" s="73"/>
      <c r="H503" s="73"/>
      <c r="I503" s="73"/>
    </row>
    <row r="504">
      <c r="A504" s="77"/>
      <c r="B504" s="73"/>
      <c r="C504" s="73"/>
      <c r="D504" s="73"/>
      <c r="E504" s="73"/>
      <c r="F504" s="73"/>
      <c r="G504" s="73"/>
      <c r="H504" s="73"/>
      <c r="I504" s="73"/>
    </row>
    <row r="505">
      <c r="A505" s="77"/>
      <c r="B505" s="73"/>
      <c r="C505" s="73"/>
      <c r="D505" s="73"/>
      <c r="E505" s="73"/>
      <c r="F505" s="73"/>
      <c r="G505" s="73"/>
      <c r="H505" s="73"/>
      <c r="I505" s="73"/>
    </row>
    <row r="506">
      <c r="A506" s="77"/>
      <c r="B506" s="73"/>
      <c r="C506" s="73"/>
      <c r="D506" s="73"/>
      <c r="E506" s="73"/>
      <c r="F506" s="73"/>
      <c r="G506" s="73"/>
      <c r="H506" s="73"/>
      <c r="I506" s="73"/>
    </row>
    <row r="507">
      <c r="A507" s="77"/>
      <c r="B507" s="73"/>
      <c r="C507" s="73"/>
      <c r="D507" s="73"/>
      <c r="E507" s="73"/>
      <c r="F507" s="73"/>
      <c r="G507" s="73"/>
      <c r="H507" s="73"/>
      <c r="I507" s="73"/>
    </row>
    <row r="508">
      <c r="A508" s="77"/>
      <c r="B508" s="73"/>
      <c r="C508" s="73"/>
      <c r="D508" s="73"/>
      <c r="E508" s="73"/>
      <c r="F508" s="73"/>
      <c r="G508" s="73"/>
      <c r="H508" s="73"/>
      <c r="I508" s="73"/>
    </row>
    <row r="509">
      <c r="A509" s="77"/>
      <c r="B509" s="73"/>
      <c r="C509" s="73"/>
      <c r="D509" s="73"/>
      <c r="E509" s="73"/>
      <c r="F509" s="73"/>
      <c r="G509" s="73"/>
      <c r="H509" s="73"/>
      <c r="I509" s="73"/>
    </row>
    <row r="510">
      <c r="A510" s="77"/>
      <c r="B510" s="73"/>
      <c r="C510" s="73"/>
      <c r="D510" s="73"/>
      <c r="E510" s="73"/>
      <c r="F510" s="73"/>
      <c r="G510" s="73"/>
      <c r="H510" s="73"/>
      <c r="I510" s="73"/>
    </row>
    <row r="511">
      <c r="A511" s="77"/>
      <c r="B511" s="73"/>
      <c r="C511" s="73"/>
      <c r="D511" s="73"/>
      <c r="E511" s="73"/>
      <c r="F511" s="73"/>
      <c r="G511" s="73"/>
      <c r="H511" s="73"/>
      <c r="I511" s="73"/>
    </row>
    <row r="512">
      <c r="A512" s="77"/>
      <c r="B512" s="73"/>
      <c r="C512" s="73"/>
      <c r="D512" s="73"/>
      <c r="E512" s="73"/>
      <c r="F512" s="73"/>
      <c r="G512" s="73"/>
      <c r="H512" s="73"/>
      <c r="I512" s="73"/>
    </row>
    <row r="513">
      <c r="A513" s="77"/>
      <c r="B513" s="73"/>
      <c r="C513" s="73"/>
      <c r="D513" s="73"/>
      <c r="E513" s="73"/>
      <c r="F513" s="73"/>
      <c r="G513" s="73"/>
      <c r="H513" s="73"/>
      <c r="I513" s="73"/>
    </row>
    <row r="514">
      <c r="A514" s="77"/>
      <c r="B514" s="73"/>
      <c r="C514" s="73"/>
      <c r="D514" s="73"/>
      <c r="E514" s="73"/>
      <c r="F514" s="73"/>
      <c r="G514" s="73"/>
      <c r="H514" s="73"/>
      <c r="I514" s="73"/>
    </row>
    <row r="515">
      <c r="A515" s="77"/>
      <c r="B515" s="73"/>
      <c r="C515" s="73"/>
      <c r="D515" s="73"/>
      <c r="E515" s="73"/>
      <c r="F515" s="73"/>
      <c r="G515" s="73"/>
      <c r="H515" s="73"/>
      <c r="I515" s="73"/>
    </row>
    <row r="516">
      <c r="A516" s="77"/>
      <c r="B516" s="73"/>
      <c r="C516" s="73"/>
      <c r="D516" s="73"/>
      <c r="E516" s="73"/>
      <c r="F516" s="73"/>
      <c r="G516" s="73"/>
      <c r="H516" s="73"/>
      <c r="I516" s="73"/>
    </row>
    <row r="517">
      <c r="A517" s="77"/>
      <c r="B517" s="73"/>
      <c r="C517" s="73"/>
      <c r="D517" s="73"/>
      <c r="E517" s="73"/>
      <c r="F517" s="73"/>
      <c r="G517" s="73"/>
      <c r="H517" s="73"/>
      <c r="I517" s="73"/>
    </row>
    <row r="518">
      <c r="A518" s="77"/>
      <c r="B518" s="73"/>
      <c r="C518" s="73"/>
      <c r="D518" s="73"/>
      <c r="E518" s="73"/>
      <c r="F518" s="73"/>
      <c r="G518" s="73"/>
      <c r="H518" s="73"/>
      <c r="I518" s="73"/>
    </row>
    <row r="519">
      <c r="A519" s="77"/>
      <c r="B519" s="73"/>
      <c r="C519" s="73"/>
      <c r="D519" s="73"/>
      <c r="E519" s="73"/>
      <c r="F519" s="73"/>
      <c r="G519" s="73"/>
      <c r="H519" s="73"/>
      <c r="I519" s="73"/>
    </row>
    <row r="520">
      <c r="A520" s="77"/>
      <c r="B520" s="73"/>
      <c r="C520" s="73"/>
      <c r="D520" s="73"/>
      <c r="E520" s="73"/>
      <c r="F520" s="73"/>
      <c r="G520" s="73"/>
      <c r="H520" s="73"/>
      <c r="I520" s="73"/>
    </row>
    <row r="521">
      <c r="A521" s="77"/>
      <c r="B521" s="73"/>
      <c r="C521" s="73"/>
      <c r="D521" s="73"/>
      <c r="E521" s="73"/>
      <c r="F521" s="73"/>
      <c r="G521" s="73"/>
      <c r="H521" s="73"/>
      <c r="I521" s="73"/>
    </row>
    <row r="522">
      <c r="A522" s="77"/>
      <c r="B522" s="73"/>
      <c r="C522" s="73"/>
      <c r="D522" s="73"/>
      <c r="E522" s="73"/>
      <c r="F522" s="73"/>
      <c r="G522" s="73"/>
      <c r="H522" s="73"/>
      <c r="I522" s="73"/>
    </row>
    <row r="523">
      <c r="A523" s="77"/>
      <c r="B523" s="73"/>
      <c r="C523" s="73"/>
      <c r="D523" s="73"/>
      <c r="E523" s="73"/>
      <c r="F523" s="73"/>
      <c r="G523" s="73"/>
      <c r="H523" s="73"/>
      <c r="I523" s="73"/>
    </row>
    <row r="524">
      <c r="A524" s="77"/>
      <c r="B524" s="73"/>
      <c r="C524" s="73"/>
      <c r="D524" s="73"/>
      <c r="E524" s="73"/>
      <c r="F524" s="73"/>
      <c r="G524" s="73"/>
      <c r="H524" s="73"/>
      <c r="I524" s="73"/>
    </row>
    <row r="525">
      <c r="A525" s="77"/>
      <c r="B525" s="73"/>
      <c r="C525" s="73"/>
      <c r="D525" s="73"/>
      <c r="E525" s="73"/>
      <c r="F525" s="73"/>
      <c r="G525" s="73"/>
      <c r="H525" s="73"/>
      <c r="I525" s="73"/>
    </row>
    <row r="526">
      <c r="A526" s="77"/>
      <c r="B526" s="73"/>
      <c r="C526" s="73"/>
      <c r="D526" s="73"/>
      <c r="E526" s="73"/>
      <c r="F526" s="73"/>
      <c r="G526" s="73"/>
      <c r="H526" s="73"/>
      <c r="I526" s="73"/>
    </row>
    <row r="527">
      <c r="A527" s="77"/>
      <c r="B527" s="73"/>
      <c r="C527" s="73"/>
      <c r="D527" s="73"/>
      <c r="E527" s="73"/>
      <c r="F527" s="73"/>
      <c r="G527" s="73"/>
      <c r="H527" s="73"/>
      <c r="I527" s="73"/>
    </row>
    <row r="528">
      <c r="A528" s="77"/>
      <c r="B528" s="73"/>
      <c r="C528" s="73"/>
      <c r="D528" s="73"/>
      <c r="E528" s="73"/>
      <c r="F528" s="73"/>
      <c r="G528" s="73"/>
      <c r="H528" s="73"/>
      <c r="I528" s="73"/>
    </row>
    <row r="529">
      <c r="A529" s="77"/>
      <c r="B529" s="73"/>
      <c r="C529" s="73"/>
      <c r="D529" s="73"/>
      <c r="E529" s="73"/>
      <c r="F529" s="73"/>
      <c r="G529" s="73"/>
      <c r="H529" s="73"/>
      <c r="I529" s="73"/>
    </row>
    <row r="530">
      <c r="A530" s="77"/>
      <c r="B530" s="73"/>
      <c r="C530" s="73"/>
      <c r="D530" s="73"/>
      <c r="E530" s="73"/>
      <c r="F530" s="73"/>
      <c r="G530" s="73"/>
      <c r="H530" s="73"/>
      <c r="I530" s="73"/>
    </row>
    <row r="531">
      <c r="A531" s="77"/>
      <c r="B531" s="73"/>
      <c r="C531" s="73"/>
      <c r="D531" s="73"/>
      <c r="E531" s="73"/>
      <c r="F531" s="73"/>
      <c r="G531" s="73"/>
      <c r="H531" s="73"/>
      <c r="I531" s="73"/>
    </row>
    <row r="532">
      <c r="A532" s="77"/>
      <c r="B532" s="73"/>
      <c r="C532" s="73"/>
      <c r="D532" s="73"/>
      <c r="E532" s="73"/>
      <c r="F532" s="73"/>
      <c r="G532" s="73"/>
      <c r="H532" s="73"/>
      <c r="I532" s="73"/>
    </row>
    <row r="533">
      <c r="A533" s="77"/>
      <c r="B533" s="73"/>
      <c r="C533" s="73"/>
      <c r="D533" s="73"/>
      <c r="E533" s="73"/>
      <c r="F533" s="73"/>
      <c r="G533" s="73"/>
      <c r="H533" s="73"/>
      <c r="I533" s="73"/>
    </row>
    <row r="534">
      <c r="A534" s="77"/>
      <c r="B534" s="73"/>
      <c r="C534" s="73"/>
      <c r="D534" s="73"/>
      <c r="E534" s="73"/>
      <c r="F534" s="73"/>
      <c r="G534" s="73"/>
      <c r="H534" s="73"/>
      <c r="I534" s="73"/>
    </row>
    <row r="535">
      <c r="A535" s="77"/>
      <c r="B535" s="73"/>
      <c r="C535" s="73"/>
      <c r="D535" s="73"/>
      <c r="E535" s="73"/>
      <c r="F535" s="73"/>
      <c r="G535" s="73"/>
      <c r="H535" s="73"/>
      <c r="I535" s="73"/>
    </row>
    <row r="536">
      <c r="A536" s="77"/>
      <c r="B536" s="73"/>
      <c r="C536" s="73"/>
      <c r="D536" s="73"/>
      <c r="E536" s="73"/>
      <c r="F536" s="73"/>
      <c r="G536" s="73"/>
      <c r="H536" s="73"/>
      <c r="I536" s="73"/>
    </row>
    <row r="537">
      <c r="A537" s="77"/>
      <c r="B537" s="73"/>
      <c r="C537" s="73"/>
      <c r="D537" s="73"/>
      <c r="E537" s="73"/>
      <c r="F537" s="73"/>
      <c r="G537" s="73"/>
      <c r="H537" s="73"/>
      <c r="I537" s="73"/>
    </row>
    <row r="538">
      <c r="A538" s="77"/>
      <c r="B538" s="73"/>
      <c r="C538" s="73"/>
      <c r="D538" s="73"/>
      <c r="E538" s="73"/>
      <c r="F538" s="73"/>
      <c r="G538" s="73"/>
      <c r="H538" s="73"/>
      <c r="I538" s="73"/>
    </row>
    <row r="539">
      <c r="A539" s="77"/>
      <c r="B539" s="73"/>
      <c r="C539" s="73"/>
      <c r="D539" s="73"/>
      <c r="E539" s="73"/>
      <c r="F539" s="73"/>
      <c r="G539" s="73"/>
      <c r="H539" s="73"/>
      <c r="I539" s="73"/>
    </row>
    <row r="540">
      <c r="A540" s="77"/>
      <c r="B540" s="73"/>
      <c r="C540" s="73"/>
      <c r="D540" s="73"/>
      <c r="E540" s="73"/>
      <c r="F540" s="73"/>
      <c r="G540" s="73"/>
      <c r="H540" s="73"/>
      <c r="I540" s="73"/>
    </row>
    <row r="541">
      <c r="A541" s="77"/>
      <c r="B541" s="73"/>
      <c r="C541" s="73"/>
      <c r="D541" s="73"/>
      <c r="E541" s="73"/>
      <c r="F541" s="73"/>
      <c r="G541" s="73"/>
      <c r="H541" s="73"/>
      <c r="I541" s="73"/>
    </row>
    <row r="542">
      <c r="A542" s="77"/>
      <c r="B542" s="73"/>
      <c r="C542" s="73"/>
      <c r="D542" s="73"/>
      <c r="E542" s="73"/>
      <c r="F542" s="73"/>
      <c r="G542" s="73"/>
      <c r="H542" s="73"/>
      <c r="I542" s="73"/>
    </row>
    <row r="543">
      <c r="A543" s="77"/>
      <c r="B543" s="73"/>
      <c r="C543" s="73"/>
      <c r="D543" s="73"/>
      <c r="E543" s="73"/>
      <c r="F543" s="73"/>
      <c r="G543" s="73"/>
      <c r="H543" s="73"/>
      <c r="I543" s="73"/>
    </row>
    <row r="544">
      <c r="A544" s="77"/>
      <c r="B544" s="73"/>
      <c r="C544" s="73"/>
      <c r="D544" s="73"/>
      <c r="E544" s="73"/>
      <c r="F544" s="73"/>
      <c r="G544" s="73"/>
      <c r="H544" s="73"/>
      <c r="I544" s="73"/>
    </row>
    <row r="545">
      <c r="A545" s="77"/>
      <c r="B545" s="73"/>
      <c r="C545" s="73"/>
      <c r="D545" s="73"/>
      <c r="E545" s="73"/>
      <c r="F545" s="73"/>
      <c r="G545" s="73"/>
      <c r="H545" s="73"/>
      <c r="I545" s="73"/>
    </row>
    <row r="546">
      <c r="A546" s="77"/>
      <c r="B546" s="73"/>
      <c r="C546" s="73"/>
      <c r="D546" s="73"/>
      <c r="E546" s="73"/>
      <c r="F546" s="73"/>
      <c r="G546" s="73"/>
      <c r="H546" s="73"/>
      <c r="I546" s="73"/>
    </row>
    <row r="547">
      <c r="A547" s="77"/>
      <c r="B547" s="73"/>
      <c r="C547" s="73"/>
      <c r="D547" s="73"/>
      <c r="E547" s="73"/>
      <c r="F547" s="73"/>
      <c r="G547" s="73"/>
      <c r="H547" s="73"/>
      <c r="I547" s="73"/>
    </row>
    <row r="548">
      <c r="A548" s="77"/>
      <c r="B548" s="73"/>
      <c r="C548" s="73"/>
      <c r="D548" s="73"/>
      <c r="E548" s="73"/>
      <c r="F548" s="73"/>
      <c r="G548" s="73"/>
      <c r="H548" s="73"/>
      <c r="I548" s="73"/>
    </row>
    <row r="549">
      <c r="A549" s="77"/>
      <c r="B549" s="73"/>
      <c r="C549" s="73"/>
      <c r="D549" s="73"/>
      <c r="E549" s="73"/>
      <c r="F549" s="73"/>
      <c r="G549" s="73"/>
      <c r="H549" s="73"/>
      <c r="I549" s="73"/>
    </row>
    <row r="550">
      <c r="A550" s="77"/>
      <c r="B550" s="73"/>
      <c r="C550" s="73"/>
      <c r="D550" s="73"/>
      <c r="E550" s="73"/>
      <c r="F550" s="73"/>
      <c r="G550" s="73"/>
      <c r="H550" s="73"/>
      <c r="I550" s="73"/>
    </row>
    <row r="551">
      <c r="A551" s="77"/>
      <c r="B551" s="73"/>
      <c r="C551" s="73"/>
      <c r="D551" s="73"/>
      <c r="E551" s="73"/>
      <c r="F551" s="73"/>
      <c r="G551" s="73"/>
      <c r="H551" s="73"/>
      <c r="I551" s="73"/>
    </row>
    <row r="552">
      <c r="A552" s="77"/>
      <c r="B552" s="73"/>
      <c r="C552" s="73"/>
      <c r="D552" s="73"/>
      <c r="E552" s="73"/>
      <c r="F552" s="73"/>
      <c r="G552" s="73"/>
      <c r="H552" s="73"/>
      <c r="I552" s="73"/>
    </row>
    <row r="553">
      <c r="A553" s="77"/>
      <c r="B553" s="73"/>
      <c r="C553" s="73"/>
      <c r="D553" s="73"/>
      <c r="E553" s="73"/>
      <c r="F553" s="73"/>
      <c r="G553" s="73"/>
      <c r="H553" s="73"/>
      <c r="I553" s="73"/>
    </row>
    <row r="554">
      <c r="A554" s="77"/>
      <c r="B554" s="73"/>
      <c r="C554" s="73"/>
      <c r="D554" s="73"/>
      <c r="E554" s="73"/>
      <c r="F554" s="73"/>
      <c r="G554" s="73"/>
      <c r="H554" s="73"/>
      <c r="I554" s="73"/>
    </row>
    <row r="555">
      <c r="A555" s="77"/>
      <c r="B555" s="73"/>
      <c r="C555" s="73"/>
      <c r="D555" s="73"/>
      <c r="E555" s="73"/>
      <c r="F555" s="73"/>
      <c r="G555" s="73"/>
      <c r="H555" s="73"/>
      <c r="I555" s="73"/>
    </row>
    <row r="556">
      <c r="A556" s="77"/>
      <c r="B556" s="73"/>
      <c r="C556" s="73"/>
      <c r="D556" s="73"/>
      <c r="E556" s="73"/>
      <c r="F556" s="73"/>
      <c r="G556" s="73"/>
      <c r="H556" s="73"/>
      <c r="I556" s="73"/>
    </row>
    <row r="557">
      <c r="A557" s="77"/>
      <c r="B557" s="73"/>
      <c r="C557" s="73"/>
      <c r="D557" s="73"/>
      <c r="E557" s="73"/>
      <c r="F557" s="73"/>
      <c r="G557" s="73"/>
      <c r="H557" s="73"/>
      <c r="I557" s="73"/>
    </row>
    <row r="558">
      <c r="A558" s="77"/>
      <c r="B558" s="73"/>
      <c r="C558" s="73"/>
      <c r="D558" s="73"/>
      <c r="E558" s="73"/>
      <c r="F558" s="73"/>
      <c r="G558" s="73"/>
      <c r="H558" s="73"/>
      <c r="I558" s="73"/>
    </row>
    <row r="559">
      <c r="A559" s="77"/>
      <c r="B559" s="73"/>
      <c r="C559" s="73"/>
      <c r="D559" s="73"/>
      <c r="E559" s="73"/>
      <c r="F559" s="73"/>
      <c r="G559" s="73"/>
      <c r="H559" s="73"/>
      <c r="I559" s="73"/>
    </row>
    <row r="560">
      <c r="A560" s="77"/>
      <c r="B560" s="73"/>
      <c r="C560" s="73"/>
      <c r="D560" s="73"/>
      <c r="E560" s="73"/>
      <c r="F560" s="73"/>
      <c r="G560" s="73"/>
      <c r="H560" s="73"/>
      <c r="I560" s="73"/>
    </row>
    <row r="561">
      <c r="A561" s="77"/>
      <c r="B561" s="73"/>
      <c r="C561" s="73"/>
      <c r="D561" s="73"/>
      <c r="E561" s="73"/>
      <c r="F561" s="73"/>
      <c r="G561" s="73"/>
      <c r="H561" s="73"/>
      <c r="I561" s="73"/>
    </row>
    <row r="562">
      <c r="A562" s="77"/>
      <c r="B562" s="73"/>
      <c r="C562" s="73"/>
      <c r="D562" s="73"/>
      <c r="E562" s="73"/>
      <c r="F562" s="73"/>
      <c r="G562" s="73"/>
      <c r="H562" s="73"/>
      <c r="I562" s="73"/>
    </row>
    <row r="563">
      <c r="A563" s="77"/>
      <c r="B563" s="73"/>
      <c r="C563" s="73"/>
      <c r="D563" s="73"/>
      <c r="E563" s="73"/>
      <c r="F563" s="73"/>
      <c r="G563" s="73"/>
      <c r="H563" s="73"/>
      <c r="I563" s="73"/>
    </row>
    <row r="564">
      <c r="A564" s="77"/>
      <c r="B564" s="73"/>
      <c r="C564" s="73"/>
      <c r="D564" s="73"/>
      <c r="E564" s="73"/>
      <c r="F564" s="73"/>
      <c r="G564" s="73"/>
      <c r="H564" s="73"/>
      <c r="I564" s="73"/>
    </row>
    <row r="565">
      <c r="A565" s="77"/>
      <c r="B565" s="73"/>
      <c r="C565" s="73"/>
      <c r="D565" s="73"/>
      <c r="E565" s="73"/>
      <c r="F565" s="73"/>
      <c r="G565" s="73"/>
      <c r="H565" s="73"/>
      <c r="I565" s="73"/>
    </row>
    <row r="566">
      <c r="A566" s="77"/>
      <c r="B566" s="73"/>
      <c r="C566" s="73"/>
      <c r="D566" s="73"/>
      <c r="E566" s="73"/>
      <c r="F566" s="73"/>
      <c r="G566" s="73"/>
      <c r="H566" s="73"/>
      <c r="I566" s="73"/>
    </row>
    <row r="567">
      <c r="A567" s="77"/>
      <c r="B567" s="73"/>
      <c r="C567" s="73"/>
      <c r="D567" s="73"/>
      <c r="E567" s="73"/>
      <c r="F567" s="73"/>
      <c r="G567" s="73"/>
      <c r="H567" s="73"/>
      <c r="I567" s="73"/>
    </row>
    <row r="568">
      <c r="A568" s="77"/>
      <c r="B568" s="73"/>
      <c r="C568" s="73"/>
      <c r="D568" s="73"/>
      <c r="E568" s="73"/>
      <c r="F568" s="73"/>
      <c r="G568" s="73"/>
      <c r="H568" s="73"/>
      <c r="I568" s="73"/>
    </row>
    <row r="569">
      <c r="A569" s="77"/>
      <c r="B569" s="73"/>
      <c r="C569" s="73"/>
      <c r="D569" s="73"/>
      <c r="E569" s="73"/>
      <c r="F569" s="73"/>
      <c r="G569" s="73"/>
      <c r="H569" s="73"/>
      <c r="I569" s="73"/>
    </row>
    <row r="570">
      <c r="A570" s="77"/>
      <c r="B570" s="73"/>
      <c r="C570" s="73"/>
      <c r="D570" s="73"/>
      <c r="E570" s="73"/>
      <c r="F570" s="73"/>
      <c r="G570" s="73"/>
      <c r="H570" s="73"/>
      <c r="I570" s="73"/>
    </row>
    <row r="571">
      <c r="A571" s="77"/>
      <c r="B571" s="73"/>
      <c r="C571" s="73"/>
      <c r="D571" s="73"/>
      <c r="E571" s="73"/>
      <c r="F571" s="73"/>
      <c r="G571" s="73"/>
      <c r="H571" s="73"/>
      <c r="I571" s="73"/>
    </row>
    <row r="572">
      <c r="A572" s="77"/>
      <c r="B572" s="73"/>
      <c r="C572" s="73"/>
      <c r="D572" s="73"/>
      <c r="E572" s="73"/>
      <c r="F572" s="73"/>
      <c r="G572" s="73"/>
      <c r="H572" s="73"/>
      <c r="I572" s="73"/>
    </row>
    <row r="573">
      <c r="A573" s="77"/>
      <c r="B573" s="73"/>
      <c r="C573" s="73"/>
      <c r="D573" s="73"/>
      <c r="E573" s="73"/>
      <c r="F573" s="73"/>
      <c r="G573" s="73"/>
      <c r="H573" s="73"/>
      <c r="I573" s="73"/>
    </row>
    <row r="574">
      <c r="A574" s="77"/>
      <c r="B574" s="73"/>
      <c r="C574" s="73"/>
      <c r="D574" s="73"/>
      <c r="E574" s="73"/>
      <c r="F574" s="73"/>
      <c r="G574" s="73"/>
      <c r="H574" s="73"/>
      <c r="I574" s="73"/>
    </row>
    <row r="575">
      <c r="A575" s="77"/>
      <c r="B575" s="73"/>
      <c r="C575" s="73"/>
      <c r="D575" s="73"/>
      <c r="E575" s="73"/>
      <c r="F575" s="73"/>
      <c r="G575" s="73"/>
      <c r="H575" s="73"/>
      <c r="I575" s="73"/>
    </row>
    <row r="576">
      <c r="A576" s="77"/>
      <c r="B576" s="73"/>
      <c r="C576" s="73"/>
      <c r="D576" s="73"/>
      <c r="E576" s="73"/>
      <c r="F576" s="73"/>
      <c r="G576" s="73"/>
      <c r="H576" s="73"/>
      <c r="I576" s="73"/>
    </row>
    <row r="577">
      <c r="A577" s="77"/>
      <c r="B577" s="73"/>
      <c r="C577" s="73"/>
      <c r="D577" s="73"/>
      <c r="E577" s="73"/>
      <c r="F577" s="73"/>
      <c r="G577" s="73"/>
      <c r="H577" s="73"/>
      <c r="I577" s="73"/>
    </row>
    <row r="578">
      <c r="A578" s="77"/>
      <c r="B578" s="73"/>
      <c r="C578" s="73"/>
      <c r="D578" s="73"/>
      <c r="E578" s="73"/>
      <c r="F578" s="73"/>
      <c r="G578" s="73"/>
      <c r="H578" s="73"/>
      <c r="I578" s="73"/>
    </row>
    <row r="579">
      <c r="A579" s="77"/>
      <c r="B579" s="73"/>
      <c r="C579" s="73"/>
      <c r="D579" s="73"/>
      <c r="E579" s="73"/>
      <c r="F579" s="73"/>
      <c r="G579" s="73"/>
      <c r="H579" s="73"/>
      <c r="I579" s="73"/>
    </row>
    <row r="580">
      <c r="A580" s="77"/>
      <c r="B580" s="73"/>
      <c r="C580" s="73"/>
      <c r="D580" s="73"/>
      <c r="E580" s="73"/>
      <c r="F580" s="73"/>
      <c r="G580" s="73"/>
      <c r="H580" s="73"/>
      <c r="I580" s="73"/>
    </row>
    <row r="581">
      <c r="A581" s="77"/>
      <c r="B581" s="73"/>
      <c r="C581" s="73"/>
      <c r="D581" s="73"/>
      <c r="E581" s="73"/>
      <c r="F581" s="73"/>
      <c r="G581" s="73"/>
      <c r="H581" s="73"/>
      <c r="I581" s="73"/>
    </row>
    <row r="582">
      <c r="A582" s="77"/>
      <c r="B582" s="73"/>
      <c r="C582" s="73"/>
      <c r="D582" s="73"/>
      <c r="E582" s="73"/>
      <c r="F582" s="73"/>
      <c r="G582" s="73"/>
      <c r="H582" s="73"/>
      <c r="I582" s="73"/>
    </row>
    <row r="583">
      <c r="A583" s="77"/>
      <c r="B583" s="73"/>
      <c r="C583" s="73"/>
      <c r="D583" s="73"/>
      <c r="E583" s="73"/>
      <c r="F583" s="73"/>
      <c r="G583" s="73"/>
      <c r="H583" s="73"/>
      <c r="I583" s="73"/>
    </row>
    <row r="584">
      <c r="A584" s="77"/>
      <c r="B584" s="73"/>
      <c r="C584" s="73"/>
      <c r="D584" s="73"/>
      <c r="E584" s="73"/>
      <c r="F584" s="73"/>
      <c r="G584" s="73"/>
      <c r="H584" s="73"/>
      <c r="I584" s="73"/>
    </row>
    <row r="585">
      <c r="A585" s="77"/>
      <c r="B585" s="73"/>
      <c r="C585" s="73"/>
      <c r="D585" s="73"/>
      <c r="E585" s="73"/>
      <c r="F585" s="73"/>
      <c r="G585" s="73"/>
      <c r="H585" s="73"/>
      <c r="I585" s="73"/>
    </row>
    <row r="586">
      <c r="A586" s="77"/>
      <c r="B586" s="73"/>
      <c r="C586" s="73"/>
      <c r="D586" s="73"/>
      <c r="E586" s="73"/>
      <c r="F586" s="73"/>
      <c r="G586" s="73"/>
      <c r="H586" s="73"/>
      <c r="I586" s="73"/>
    </row>
    <row r="587">
      <c r="A587" s="77"/>
      <c r="B587" s="73"/>
      <c r="C587" s="73"/>
      <c r="D587" s="73"/>
      <c r="E587" s="73"/>
      <c r="F587" s="73"/>
      <c r="G587" s="73"/>
      <c r="H587" s="73"/>
      <c r="I587" s="73"/>
    </row>
    <row r="588">
      <c r="A588" s="77"/>
      <c r="B588" s="73"/>
      <c r="C588" s="73"/>
      <c r="D588" s="73"/>
      <c r="E588" s="73"/>
      <c r="F588" s="73"/>
      <c r="G588" s="73"/>
      <c r="H588" s="73"/>
      <c r="I588" s="73"/>
    </row>
    <row r="589">
      <c r="A589" s="77"/>
      <c r="B589" s="73"/>
      <c r="C589" s="73"/>
      <c r="D589" s="73"/>
      <c r="E589" s="73"/>
      <c r="F589" s="73"/>
      <c r="G589" s="73"/>
      <c r="H589" s="73"/>
      <c r="I589" s="73"/>
    </row>
    <row r="590">
      <c r="A590" s="77"/>
      <c r="B590" s="73"/>
      <c r="C590" s="73"/>
      <c r="D590" s="73"/>
      <c r="E590" s="73"/>
      <c r="F590" s="73"/>
      <c r="G590" s="73"/>
      <c r="H590" s="73"/>
      <c r="I590" s="73"/>
    </row>
    <row r="591">
      <c r="A591" s="77"/>
      <c r="B591" s="73"/>
      <c r="C591" s="73"/>
      <c r="D591" s="73"/>
      <c r="E591" s="73"/>
      <c r="F591" s="73"/>
      <c r="G591" s="73"/>
      <c r="H591" s="73"/>
      <c r="I591" s="73"/>
    </row>
    <row r="592">
      <c r="A592" s="77"/>
      <c r="B592" s="73"/>
      <c r="C592" s="73"/>
      <c r="D592" s="73"/>
      <c r="E592" s="73"/>
      <c r="F592" s="73"/>
      <c r="G592" s="73"/>
      <c r="H592" s="73"/>
      <c r="I592" s="73"/>
    </row>
    <row r="593">
      <c r="A593" s="77"/>
      <c r="B593" s="73"/>
      <c r="C593" s="73"/>
      <c r="D593" s="73"/>
      <c r="E593" s="73"/>
      <c r="F593" s="73"/>
      <c r="G593" s="73"/>
      <c r="H593" s="73"/>
      <c r="I593" s="73"/>
    </row>
    <row r="594">
      <c r="A594" s="77"/>
      <c r="B594" s="73"/>
      <c r="C594" s="73"/>
      <c r="D594" s="73"/>
      <c r="E594" s="73"/>
      <c r="F594" s="73"/>
      <c r="G594" s="73"/>
      <c r="H594" s="73"/>
      <c r="I594" s="73"/>
    </row>
    <row r="595">
      <c r="A595" s="77"/>
      <c r="B595" s="73"/>
      <c r="C595" s="73"/>
      <c r="D595" s="73"/>
      <c r="E595" s="73"/>
      <c r="F595" s="73"/>
      <c r="G595" s="73"/>
      <c r="H595" s="73"/>
      <c r="I595" s="73"/>
    </row>
    <row r="596">
      <c r="A596" s="77"/>
      <c r="B596" s="73"/>
      <c r="C596" s="73"/>
      <c r="D596" s="73"/>
      <c r="E596" s="73"/>
      <c r="F596" s="73"/>
      <c r="G596" s="73"/>
      <c r="H596" s="73"/>
      <c r="I596" s="73"/>
    </row>
    <row r="597">
      <c r="A597" s="77"/>
      <c r="B597" s="73"/>
      <c r="C597" s="73"/>
      <c r="D597" s="73"/>
      <c r="E597" s="73"/>
      <c r="F597" s="73"/>
      <c r="G597" s="73"/>
      <c r="H597" s="73"/>
      <c r="I597" s="73"/>
    </row>
    <row r="598">
      <c r="A598" s="77"/>
      <c r="B598" s="73"/>
      <c r="C598" s="73"/>
      <c r="D598" s="73"/>
      <c r="E598" s="73"/>
      <c r="F598" s="73"/>
      <c r="G598" s="73"/>
      <c r="H598" s="73"/>
      <c r="I598" s="73"/>
    </row>
    <row r="599">
      <c r="A599" s="77"/>
      <c r="B599" s="73"/>
      <c r="C599" s="73"/>
      <c r="D599" s="73"/>
      <c r="E599" s="73"/>
      <c r="F599" s="73"/>
      <c r="G599" s="73"/>
      <c r="H599" s="73"/>
      <c r="I599" s="73"/>
    </row>
    <row r="600">
      <c r="A600" s="77"/>
      <c r="B600" s="73"/>
      <c r="C600" s="73"/>
      <c r="D600" s="73"/>
      <c r="E600" s="73"/>
      <c r="F600" s="73"/>
      <c r="G600" s="73"/>
      <c r="H600" s="73"/>
      <c r="I600" s="73"/>
    </row>
    <row r="601">
      <c r="A601" s="77"/>
      <c r="B601" s="73"/>
      <c r="C601" s="73"/>
      <c r="D601" s="73"/>
      <c r="E601" s="73"/>
      <c r="F601" s="73"/>
      <c r="G601" s="73"/>
      <c r="H601" s="73"/>
      <c r="I601" s="73"/>
    </row>
    <row r="602">
      <c r="A602" s="77"/>
      <c r="B602" s="73"/>
      <c r="C602" s="73"/>
      <c r="D602" s="73"/>
      <c r="E602" s="73"/>
      <c r="F602" s="73"/>
      <c r="G602" s="73"/>
      <c r="H602" s="73"/>
      <c r="I602" s="73"/>
    </row>
    <row r="603">
      <c r="A603" s="77"/>
      <c r="B603" s="73"/>
      <c r="C603" s="73"/>
      <c r="D603" s="73"/>
      <c r="E603" s="73"/>
      <c r="F603" s="73"/>
      <c r="G603" s="73"/>
      <c r="H603" s="73"/>
      <c r="I603" s="73"/>
    </row>
    <row r="604">
      <c r="A604" s="77"/>
      <c r="B604" s="73"/>
      <c r="C604" s="73"/>
      <c r="D604" s="73"/>
      <c r="E604" s="73"/>
      <c r="F604" s="73"/>
      <c r="G604" s="73"/>
      <c r="H604" s="73"/>
      <c r="I604" s="73"/>
    </row>
    <row r="605">
      <c r="A605" s="77"/>
      <c r="B605" s="73"/>
      <c r="C605" s="73"/>
      <c r="D605" s="73"/>
      <c r="E605" s="73"/>
      <c r="F605" s="73"/>
      <c r="G605" s="73"/>
      <c r="H605" s="73"/>
      <c r="I605" s="73"/>
    </row>
    <row r="606">
      <c r="A606" s="77"/>
      <c r="B606" s="73"/>
      <c r="C606" s="73"/>
      <c r="D606" s="73"/>
      <c r="E606" s="73"/>
      <c r="F606" s="73"/>
      <c r="G606" s="73"/>
      <c r="H606" s="73"/>
      <c r="I606" s="73"/>
    </row>
    <row r="607">
      <c r="A607" s="77"/>
      <c r="B607" s="73"/>
      <c r="C607" s="73"/>
      <c r="D607" s="73"/>
      <c r="E607" s="73"/>
      <c r="F607" s="73"/>
      <c r="G607" s="73"/>
      <c r="H607" s="73"/>
      <c r="I607" s="73"/>
    </row>
    <row r="608">
      <c r="A608" s="77"/>
      <c r="B608" s="73"/>
      <c r="C608" s="73"/>
      <c r="D608" s="73"/>
      <c r="E608" s="73"/>
      <c r="F608" s="73"/>
      <c r="G608" s="73"/>
      <c r="H608" s="73"/>
      <c r="I608" s="73"/>
    </row>
    <row r="609">
      <c r="A609" s="77"/>
      <c r="B609" s="73"/>
      <c r="C609" s="73"/>
      <c r="D609" s="73"/>
      <c r="E609" s="73"/>
      <c r="F609" s="73"/>
      <c r="G609" s="73"/>
      <c r="H609" s="73"/>
      <c r="I609" s="73"/>
    </row>
    <row r="610">
      <c r="A610" s="77"/>
      <c r="B610" s="73"/>
      <c r="C610" s="73"/>
      <c r="D610" s="73"/>
      <c r="E610" s="73"/>
      <c r="F610" s="73"/>
      <c r="G610" s="73"/>
      <c r="H610" s="73"/>
      <c r="I610" s="73"/>
    </row>
    <row r="611">
      <c r="A611" s="77"/>
      <c r="B611" s="73"/>
      <c r="C611" s="73"/>
      <c r="D611" s="73"/>
      <c r="E611" s="73"/>
      <c r="F611" s="73"/>
      <c r="G611" s="73"/>
      <c r="H611" s="73"/>
      <c r="I611" s="73"/>
    </row>
    <row r="612">
      <c r="A612" s="77"/>
      <c r="B612" s="73"/>
      <c r="C612" s="73"/>
      <c r="D612" s="73"/>
      <c r="E612" s="73"/>
      <c r="F612" s="73"/>
      <c r="G612" s="73"/>
      <c r="H612" s="73"/>
      <c r="I612" s="73"/>
    </row>
    <row r="613">
      <c r="A613" s="77"/>
      <c r="B613" s="73"/>
      <c r="C613" s="73"/>
      <c r="D613" s="73"/>
      <c r="E613" s="73"/>
      <c r="F613" s="73"/>
      <c r="G613" s="73"/>
      <c r="H613" s="73"/>
      <c r="I613" s="73"/>
    </row>
    <row r="614">
      <c r="A614" s="77"/>
      <c r="B614" s="73"/>
      <c r="C614" s="73"/>
      <c r="D614" s="73"/>
      <c r="E614" s="73"/>
      <c r="F614" s="73"/>
      <c r="G614" s="73"/>
      <c r="H614" s="73"/>
      <c r="I614" s="73"/>
    </row>
    <row r="615">
      <c r="A615" s="77"/>
      <c r="B615" s="73"/>
      <c r="C615" s="73"/>
      <c r="D615" s="73"/>
      <c r="E615" s="73"/>
      <c r="F615" s="73"/>
      <c r="G615" s="73"/>
      <c r="H615" s="73"/>
      <c r="I615" s="73"/>
    </row>
    <row r="616">
      <c r="A616" s="77"/>
      <c r="B616" s="73"/>
      <c r="C616" s="73"/>
      <c r="D616" s="73"/>
      <c r="E616" s="73"/>
      <c r="F616" s="73"/>
      <c r="G616" s="73"/>
      <c r="H616" s="73"/>
      <c r="I616" s="73"/>
    </row>
    <row r="617">
      <c r="A617" s="77"/>
      <c r="B617" s="73"/>
      <c r="C617" s="73"/>
      <c r="D617" s="73"/>
      <c r="E617" s="73"/>
      <c r="F617" s="73"/>
      <c r="G617" s="73"/>
      <c r="H617" s="73"/>
      <c r="I617" s="73"/>
    </row>
    <row r="618">
      <c r="A618" s="77"/>
      <c r="B618" s="73"/>
      <c r="C618" s="73"/>
      <c r="D618" s="73"/>
      <c r="E618" s="73"/>
      <c r="F618" s="73"/>
      <c r="G618" s="73"/>
      <c r="H618" s="73"/>
      <c r="I618" s="73"/>
    </row>
    <row r="619">
      <c r="A619" s="77"/>
      <c r="B619" s="73"/>
      <c r="C619" s="73"/>
      <c r="D619" s="73"/>
      <c r="E619" s="73"/>
      <c r="F619" s="73"/>
      <c r="G619" s="73"/>
      <c r="H619" s="73"/>
      <c r="I619" s="73"/>
    </row>
    <row r="620">
      <c r="A620" s="77"/>
      <c r="B620" s="73"/>
      <c r="C620" s="73"/>
      <c r="D620" s="73"/>
      <c r="E620" s="73"/>
      <c r="F620" s="73"/>
      <c r="G620" s="73"/>
      <c r="H620" s="73"/>
      <c r="I620" s="73"/>
    </row>
    <row r="621">
      <c r="A621" s="77"/>
      <c r="B621" s="73"/>
      <c r="C621" s="73"/>
      <c r="D621" s="73"/>
      <c r="E621" s="73"/>
      <c r="F621" s="73"/>
      <c r="G621" s="73"/>
      <c r="H621" s="73"/>
      <c r="I621" s="73"/>
    </row>
    <row r="622">
      <c r="A622" s="77"/>
      <c r="B622" s="73"/>
      <c r="C622" s="73"/>
      <c r="D622" s="73"/>
      <c r="E622" s="73"/>
      <c r="F622" s="73"/>
      <c r="G622" s="73"/>
      <c r="H622" s="73"/>
      <c r="I622" s="73"/>
    </row>
    <row r="623">
      <c r="A623" s="77"/>
      <c r="B623" s="73"/>
      <c r="C623" s="73"/>
      <c r="D623" s="73"/>
      <c r="E623" s="73"/>
      <c r="F623" s="73"/>
      <c r="G623" s="73"/>
      <c r="H623" s="73"/>
      <c r="I623" s="73"/>
    </row>
    <row r="624">
      <c r="A624" s="77"/>
      <c r="B624" s="73"/>
      <c r="C624" s="73"/>
      <c r="D624" s="73"/>
      <c r="E624" s="73"/>
      <c r="F624" s="73"/>
      <c r="G624" s="73"/>
      <c r="H624" s="73"/>
      <c r="I624" s="73"/>
    </row>
    <row r="625">
      <c r="A625" s="77"/>
      <c r="B625" s="73"/>
      <c r="C625" s="73"/>
      <c r="D625" s="73"/>
      <c r="E625" s="73"/>
      <c r="F625" s="73"/>
      <c r="G625" s="73"/>
      <c r="H625" s="73"/>
      <c r="I625" s="73"/>
    </row>
    <row r="626">
      <c r="A626" s="77"/>
      <c r="B626" s="73"/>
      <c r="C626" s="73"/>
      <c r="D626" s="73"/>
      <c r="E626" s="73"/>
      <c r="F626" s="73"/>
      <c r="G626" s="73"/>
      <c r="H626" s="73"/>
      <c r="I626" s="73"/>
    </row>
    <row r="627">
      <c r="A627" s="77"/>
      <c r="B627" s="73"/>
      <c r="C627" s="73"/>
      <c r="D627" s="73"/>
      <c r="E627" s="73"/>
      <c r="F627" s="73"/>
      <c r="G627" s="73"/>
      <c r="H627" s="73"/>
      <c r="I627" s="73"/>
    </row>
    <row r="628">
      <c r="A628" s="77"/>
      <c r="B628" s="73"/>
      <c r="C628" s="73"/>
      <c r="D628" s="73"/>
      <c r="E628" s="73"/>
      <c r="F628" s="73"/>
      <c r="G628" s="73"/>
      <c r="H628" s="73"/>
      <c r="I628" s="73"/>
    </row>
    <row r="629">
      <c r="A629" s="77"/>
      <c r="B629" s="73"/>
      <c r="C629" s="73"/>
      <c r="D629" s="73"/>
      <c r="E629" s="73"/>
      <c r="F629" s="73"/>
      <c r="G629" s="73"/>
      <c r="H629" s="73"/>
      <c r="I629" s="73"/>
    </row>
    <row r="630">
      <c r="A630" s="77"/>
      <c r="B630" s="73"/>
      <c r="C630" s="73"/>
      <c r="D630" s="73"/>
      <c r="E630" s="73"/>
      <c r="F630" s="73"/>
      <c r="G630" s="73"/>
      <c r="H630" s="73"/>
      <c r="I630" s="73"/>
    </row>
    <row r="631">
      <c r="A631" s="77"/>
      <c r="B631" s="73"/>
      <c r="C631" s="73"/>
      <c r="D631" s="73"/>
      <c r="E631" s="73"/>
      <c r="F631" s="73"/>
      <c r="G631" s="73"/>
      <c r="H631" s="73"/>
      <c r="I631" s="73"/>
    </row>
    <row r="632">
      <c r="A632" s="77"/>
      <c r="B632" s="73"/>
      <c r="C632" s="73"/>
      <c r="D632" s="73"/>
      <c r="E632" s="73"/>
      <c r="F632" s="73"/>
      <c r="G632" s="73"/>
      <c r="H632" s="73"/>
      <c r="I632" s="73"/>
    </row>
    <row r="633">
      <c r="A633" s="77"/>
      <c r="B633" s="73"/>
      <c r="C633" s="73"/>
      <c r="D633" s="73"/>
      <c r="E633" s="73"/>
      <c r="F633" s="73"/>
      <c r="G633" s="73"/>
      <c r="H633" s="73"/>
      <c r="I633" s="73"/>
    </row>
    <row r="634">
      <c r="A634" s="77"/>
      <c r="B634" s="73"/>
      <c r="C634" s="73"/>
      <c r="D634" s="73"/>
      <c r="E634" s="73"/>
      <c r="F634" s="73"/>
      <c r="G634" s="73"/>
      <c r="H634" s="73"/>
      <c r="I634" s="73"/>
    </row>
    <row r="635">
      <c r="A635" s="77"/>
      <c r="B635" s="73"/>
      <c r="C635" s="73"/>
      <c r="D635" s="73"/>
      <c r="E635" s="73"/>
      <c r="F635" s="73"/>
      <c r="G635" s="73"/>
      <c r="H635" s="73"/>
      <c r="I635" s="73"/>
    </row>
    <row r="636">
      <c r="A636" s="77"/>
      <c r="B636" s="73"/>
      <c r="C636" s="73"/>
      <c r="D636" s="73"/>
      <c r="E636" s="73"/>
      <c r="F636" s="73"/>
      <c r="G636" s="73"/>
      <c r="H636" s="73"/>
      <c r="I636" s="73"/>
    </row>
    <row r="637">
      <c r="A637" s="77"/>
      <c r="B637" s="73"/>
      <c r="C637" s="73"/>
      <c r="D637" s="73"/>
      <c r="E637" s="73"/>
      <c r="F637" s="73"/>
      <c r="G637" s="73"/>
      <c r="H637" s="73"/>
      <c r="I637" s="73"/>
    </row>
    <row r="638">
      <c r="A638" s="77"/>
      <c r="B638" s="73"/>
      <c r="C638" s="73"/>
      <c r="D638" s="73"/>
      <c r="E638" s="73"/>
      <c r="F638" s="73"/>
      <c r="G638" s="73"/>
      <c r="H638" s="73"/>
      <c r="I638" s="73"/>
    </row>
    <row r="639">
      <c r="A639" s="77"/>
      <c r="B639" s="73"/>
      <c r="C639" s="73"/>
      <c r="D639" s="73"/>
      <c r="E639" s="73"/>
      <c r="F639" s="73"/>
      <c r="G639" s="73"/>
      <c r="H639" s="73"/>
      <c r="I639" s="73"/>
    </row>
    <row r="640">
      <c r="A640" s="77"/>
      <c r="B640" s="73"/>
      <c r="C640" s="73"/>
      <c r="D640" s="73"/>
      <c r="E640" s="73"/>
      <c r="F640" s="73"/>
      <c r="G640" s="73"/>
      <c r="H640" s="73"/>
      <c r="I640" s="73"/>
    </row>
    <row r="641">
      <c r="A641" s="77"/>
      <c r="B641" s="73"/>
      <c r="C641" s="73"/>
      <c r="D641" s="73"/>
      <c r="E641" s="73"/>
      <c r="F641" s="73"/>
      <c r="G641" s="73"/>
      <c r="H641" s="73"/>
      <c r="I641" s="73"/>
    </row>
    <row r="642">
      <c r="A642" s="77"/>
      <c r="B642" s="73"/>
      <c r="C642" s="73"/>
      <c r="D642" s="73"/>
      <c r="E642" s="73"/>
      <c r="F642" s="73"/>
      <c r="G642" s="73"/>
      <c r="H642" s="73"/>
      <c r="I642" s="73"/>
    </row>
    <row r="643">
      <c r="A643" s="77"/>
      <c r="B643" s="73"/>
      <c r="C643" s="73"/>
      <c r="D643" s="73"/>
      <c r="E643" s="73"/>
      <c r="F643" s="73"/>
      <c r="G643" s="73"/>
      <c r="H643" s="73"/>
      <c r="I643" s="73"/>
    </row>
    <row r="644">
      <c r="A644" s="77"/>
      <c r="B644" s="73"/>
      <c r="C644" s="73"/>
      <c r="D644" s="73"/>
      <c r="E644" s="73"/>
      <c r="F644" s="73"/>
      <c r="G644" s="73"/>
      <c r="H644" s="73"/>
      <c r="I644" s="73"/>
    </row>
    <row r="645">
      <c r="A645" s="77"/>
      <c r="B645" s="73"/>
      <c r="C645" s="73"/>
      <c r="D645" s="73"/>
      <c r="E645" s="73"/>
      <c r="F645" s="73"/>
      <c r="G645" s="73"/>
      <c r="H645" s="73"/>
      <c r="I645" s="73"/>
    </row>
    <row r="646">
      <c r="A646" s="77"/>
      <c r="B646" s="73"/>
      <c r="C646" s="73"/>
      <c r="D646" s="73"/>
      <c r="E646" s="73"/>
      <c r="F646" s="73"/>
      <c r="G646" s="73"/>
      <c r="H646" s="73"/>
      <c r="I646" s="73"/>
    </row>
    <row r="647">
      <c r="A647" s="77"/>
      <c r="B647" s="73"/>
      <c r="C647" s="73"/>
      <c r="D647" s="73"/>
      <c r="E647" s="73"/>
      <c r="F647" s="73"/>
      <c r="G647" s="73"/>
      <c r="H647" s="73"/>
      <c r="I647" s="73"/>
    </row>
    <row r="648">
      <c r="A648" s="77"/>
      <c r="B648" s="73"/>
      <c r="C648" s="73"/>
      <c r="D648" s="73"/>
      <c r="E648" s="73"/>
      <c r="F648" s="73"/>
      <c r="G648" s="73"/>
      <c r="H648" s="73"/>
      <c r="I648" s="73"/>
    </row>
    <row r="649">
      <c r="A649" s="77"/>
      <c r="B649" s="73"/>
      <c r="C649" s="73"/>
      <c r="D649" s="73"/>
      <c r="E649" s="73"/>
      <c r="F649" s="73"/>
      <c r="G649" s="73"/>
      <c r="H649" s="73"/>
      <c r="I649" s="73"/>
    </row>
    <row r="650">
      <c r="A650" s="77"/>
      <c r="B650" s="73"/>
      <c r="C650" s="73"/>
      <c r="D650" s="73"/>
      <c r="E650" s="73"/>
      <c r="F650" s="73"/>
      <c r="G650" s="73"/>
      <c r="H650" s="73"/>
      <c r="I650" s="73"/>
    </row>
    <row r="651">
      <c r="A651" s="77"/>
      <c r="B651" s="73"/>
      <c r="C651" s="73"/>
      <c r="D651" s="73"/>
      <c r="E651" s="73"/>
      <c r="F651" s="73"/>
      <c r="G651" s="73"/>
      <c r="H651" s="73"/>
      <c r="I651" s="73"/>
    </row>
    <row r="652">
      <c r="A652" s="77"/>
      <c r="B652" s="73"/>
      <c r="C652" s="73"/>
      <c r="D652" s="73"/>
      <c r="E652" s="73"/>
      <c r="F652" s="73"/>
      <c r="G652" s="73"/>
      <c r="H652" s="73"/>
      <c r="I652" s="73"/>
    </row>
    <row r="653">
      <c r="A653" s="77"/>
      <c r="B653" s="73"/>
      <c r="C653" s="73"/>
      <c r="D653" s="73"/>
      <c r="E653" s="73"/>
      <c r="F653" s="73"/>
      <c r="G653" s="73"/>
      <c r="H653" s="73"/>
      <c r="I653" s="73"/>
    </row>
    <row r="654">
      <c r="A654" s="77"/>
      <c r="B654" s="73"/>
      <c r="C654" s="73"/>
      <c r="D654" s="73"/>
      <c r="E654" s="73"/>
      <c r="F654" s="73"/>
      <c r="G654" s="73"/>
      <c r="H654" s="73"/>
      <c r="I654" s="73"/>
    </row>
    <row r="655">
      <c r="A655" s="77"/>
      <c r="B655" s="73"/>
      <c r="C655" s="73"/>
      <c r="D655" s="73"/>
      <c r="E655" s="73"/>
      <c r="F655" s="73"/>
      <c r="G655" s="73"/>
      <c r="H655" s="73"/>
      <c r="I655" s="73"/>
    </row>
    <row r="656">
      <c r="A656" s="77"/>
      <c r="B656" s="73"/>
      <c r="C656" s="73"/>
      <c r="D656" s="73"/>
      <c r="E656" s="73"/>
      <c r="F656" s="73"/>
      <c r="G656" s="73"/>
      <c r="H656" s="73"/>
      <c r="I656" s="73"/>
    </row>
    <row r="657">
      <c r="A657" s="77"/>
      <c r="B657" s="73"/>
      <c r="C657" s="73"/>
      <c r="D657" s="73"/>
      <c r="E657" s="73"/>
      <c r="F657" s="73"/>
      <c r="G657" s="73"/>
      <c r="H657" s="73"/>
      <c r="I657" s="73"/>
    </row>
    <row r="658">
      <c r="A658" s="77"/>
      <c r="B658" s="73"/>
      <c r="C658" s="73"/>
      <c r="D658" s="73"/>
      <c r="E658" s="73"/>
      <c r="F658" s="73"/>
      <c r="G658" s="73"/>
      <c r="H658" s="73"/>
      <c r="I658" s="73"/>
    </row>
    <row r="659">
      <c r="A659" s="77"/>
      <c r="B659" s="73"/>
      <c r="C659" s="73"/>
      <c r="D659" s="73"/>
      <c r="E659" s="73"/>
      <c r="F659" s="73"/>
      <c r="G659" s="73"/>
      <c r="H659" s="73"/>
      <c r="I659" s="73"/>
    </row>
    <row r="660">
      <c r="A660" s="77"/>
      <c r="B660" s="73"/>
      <c r="C660" s="73"/>
      <c r="D660" s="73"/>
      <c r="E660" s="73"/>
      <c r="F660" s="73"/>
      <c r="G660" s="73"/>
      <c r="H660" s="73"/>
      <c r="I660" s="73"/>
    </row>
    <row r="661">
      <c r="A661" s="77"/>
      <c r="B661" s="73"/>
      <c r="C661" s="73"/>
      <c r="D661" s="73"/>
      <c r="E661" s="73"/>
      <c r="F661" s="73"/>
      <c r="G661" s="73"/>
      <c r="H661" s="73"/>
      <c r="I661" s="73"/>
    </row>
    <row r="662">
      <c r="A662" s="77"/>
      <c r="B662" s="73"/>
      <c r="C662" s="73"/>
      <c r="D662" s="73"/>
      <c r="E662" s="73"/>
      <c r="F662" s="73"/>
      <c r="G662" s="73"/>
      <c r="H662" s="73"/>
      <c r="I662" s="73"/>
    </row>
    <row r="663">
      <c r="A663" s="77"/>
      <c r="B663" s="73"/>
      <c r="C663" s="73"/>
      <c r="D663" s="73"/>
      <c r="E663" s="73"/>
      <c r="F663" s="73"/>
      <c r="G663" s="73"/>
      <c r="H663" s="73"/>
      <c r="I663" s="73"/>
    </row>
    <row r="664">
      <c r="A664" s="77"/>
      <c r="B664" s="73"/>
      <c r="C664" s="73"/>
      <c r="D664" s="73"/>
      <c r="E664" s="73"/>
      <c r="F664" s="73"/>
      <c r="G664" s="73"/>
      <c r="H664" s="73"/>
      <c r="I664" s="73"/>
    </row>
    <row r="665">
      <c r="A665" s="77"/>
      <c r="B665" s="73"/>
      <c r="C665" s="73"/>
      <c r="D665" s="73"/>
      <c r="E665" s="73"/>
      <c r="F665" s="73"/>
      <c r="G665" s="73"/>
      <c r="H665" s="73"/>
      <c r="I665" s="73"/>
    </row>
    <row r="666">
      <c r="A666" s="77"/>
      <c r="B666" s="73"/>
      <c r="C666" s="73"/>
      <c r="D666" s="73"/>
      <c r="E666" s="73"/>
      <c r="F666" s="73"/>
      <c r="G666" s="73"/>
      <c r="H666" s="73"/>
      <c r="I666" s="73"/>
    </row>
    <row r="667">
      <c r="A667" s="77"/>
      <c r="B667" s="73"/>
      <c r="C667" s="73"/>
      <c r="D667" s="73"/>
      <c r="E667" s="73"/>
      <c r="F667" s="73"/>
      <c r="G667" s="73"/>
      <c r="H667" s="73"/>
      <c r="I667" s="73"/>
    </row>
    <row r="668">
      <c r="A668" s="77"/>
      <c r="B668" s="73"/>
      <c r="C668" s="73"/>
      <c r="D668" s="73"/>
      <c r="E668" s="73"/>
      <c r="F668" s="73"/>
      <c r="G668" s="73"/>
      <c r="H668" s="73"/>
      <c r="I668" s="73"/>
    </row>
    <row r="669">
      <c r="A669" s="77"/>
      <c r="B669" s="73"/>
      <c r="C669" s="73"/>
      <c r="D669" s="73"/>
      <c r="E669" s="73"/>
      <c r="F669" s="73"/>
      <c r="G669" s="73"/>
      <c r="H669" s="73"/>
      <c r="I669" s="73"/>
    </row>
    <row r="670">
      <c r="A670" s="77"/>
      <c r="B670" s="73"/>
      <c r="C670" s="73"/>
      <c r="D670" s="73"/>
      <c r="E670" s="73"/>
      <c r="F670" s="73"/>
      <c r="G670" s="73"/>
      <c r="H670" s="73"/>
      <c r="I670" s="73"/>
    </row>
    <row r="671">
      <c r="A671" s="77"/>
      <c r="B671" s="73"/>
      <c r="C671" s="73"/>
      <c r="D671" s="73"/>
      <c r="E671" s="73"/>
      <c r="F671" s="73"/>
      <c r="G671" s="73"/>
      <c r="H671" s="73"/>
      <c r="I671" s="73"/>
    </row>
    <row r="672">
      <c r="A672" s="77"/>
      <c r="B672" s="73"/>
      <c r="C672" s="73"/>
      <c r="D672" s="73"/>
      <c r="E672" s="73"/>
      <c r="F672" s="73"/>
      <c r="G672" s="73"/>
      <c r="H672" s="73"/>
      <c r="I672" s="73"/>
    </row>
    <row r="673">
      <c r="A673" s="77"/>
      <c r="B673" s="73"/>
      <c r="C673" s="73"/>
      <c r="D673" s="73"/>
      <c r="E673" s="73"/>
      <c r="F673" s="73"/>
      <c r="G673" s="73"/>
      <c r="H673" s="73"/>
      <c r="I673" s="73"/>
    </row>
    <row r="674">
      <c r="A674" s="77"/>
      <c r="B674" s="73"/>
      <c r="C674" s="73"/>
      <c r="D674" s="73"/>
      <c r="E674" s="73"/>
      <c r="F674" s="73"/>
      <c r="G674" s="73"/>
      <c r="H674" s="73"/>
      <c r="I674" s="73"/>
    </row>
    <row r="675">
      <c r="A675" s="77"/>
      <c r="B675" s="73"/>
      <c r="C675" s="73"/>
      <c r="D675" s="73"/>
      <c r="E675" s="73"/>
      <c r="F675" s="73"/>
      <c r="G675" s="73"/>
      <c r="H675" s="73"/>
      <c r="I675" s="73"/>
    </row>
    <row r="676">
      <c r="A676" s="77"/>
      <c r="B676" s="73"/>
      <c r="C676" s="73"/>
      <c r="D676" s="73"/>
      <c r="E676" s="73"/>
      <c r="F676" s="73"/>
      <c r="G676" s="73"/>
      <c r="H676" s="73"/>
      <c r="I676" s="73"/>
    </row>
    <row r="677">
      <c r="A677" s="77"/>
      <c r="B677" s="73"/>
      <c r="C677" s="73"/>
      <c r="D677" s="73"/>
      <c r="E677" s="73"/>
      <c r="F677" s="73"/>
      <c r="G677" s="73"/>
      <c r="H677" s="73"/>
      <c r="I677" s="73"/>
    </row>
    <row r="678">
      <c r="A678" s="77"/>
      <c r="B678" s="73"/>
      <c r="C678" s="73"/>
      <c r="D678" s="73"/>
      <c r="E678" s="73"/>
      <c r="F678" s="73"/>
      <c r="G678" s="73"/>
      <c r="H678" s="73"/>
      <c r="I678" s="73"/>
    </row>
    <row r="679">
      <c r="A679" s="77"/>
      <c r="B679" s="73"/>
      <c r="C679" s="73"/>
      <c r="D679" s="73"/>
      <c r="E679" s="73"/>
      <c r="F679" s="73"/>
      <c r="G679" s="73"/>
      <c r="H679" s="73"/>
      <c r="I679" s="73"/>
    </row>
    <row r="680">
      <c r="A680" s="77"/>
      <c r="B680" s="73"/>
      <c r="C680" s="73"/>
      <c r="D680" s="73"/>
      <c r="E680" s="73"/>
      <c r="F680" s="73"/>
      <c r="G680" s="73"/>
      <c r="H680" s="73"/>
      <c r="I680" s="73"/>
    </row>
    <row r="681">
      <c r="A681" s="77"/>
      <c r="B681" s="73"/>
      <c r="C681" s="73"/>
      <c r="D681" s="73"/>
      <c r="E681" s="73"/>
      <c r="F681" s="73"/>
      <c r="G681" s="73"/>
      <c r="H681" s="73"/>
      <c r="I681" s="73"/>
    </row>
    <row r="682">
      <c r="A682" s="77"/>
      <c r="B682" s="73"/>
      <c r="C682" s="73"/>
      <c r="D682" s="73"/>
      <c r="E682" s="73"/>
      <c r="F682" s="73"/>
      <c r="G682" s="73"/>
      <c r="H682" s="73"/>
      <c r="I682" s="73"/>
    </row>
    <row r="683">
      <c r="A683" s="77"/>
      <c r="B683" s="73"/>
      <c r="C683" s="73"/>
      <c r="D683" s="73"/>
      <c r="E683" s="73"/>
      <c r="F683" s="73"/>
      <c r="G683" s="73"/>
      <c r="H683" s="73"/>
      <c r="I683" s="73"/>
    </row>
    <row r="684">
      <c r="A684" s="77"/>
      <c r="B684" s="73"/>
      <c r="C684" s="73"/>
      <c r="D684" s="73"/>
      <c r="E684" s="73"/>
      <c r="F684" s="73"/>
      <c r="G684" s="73"/>
      <c r="H684" s="73"/>
      <c r="I684" s="73"/>
    </row>
    <row r="685">
      <c r="A685" s="77"/>
      <c r="B685" s="73"/>
      <c r="C685" s="73"/>
      <c r="D685" s="73"/>
      <c r="E685" s="73"/>
      <c r="F685" s="73"/>
      <c r="G685" s="73"/>
      <c r="H685" s="73"/>
      <c r="I685" s="73"/>
    </row>
    <row r="686">
      <c r="A686" s="77"/>
      <c r="B686" s="73"/>
      <c r="C686" s="73"/>
      <c r="D686" s="73"/>
      <c r="E686" s="73"/>
      <c r="F686" s="73"/>
      <c r="G686" s="73"/>
      <c r="H686" s="73"/>
      <c r="I686" s="73"/>
    </row>
    <row r="687">
      <c r="A687" s="77"/>
      <c r="B687" s="73"/>
      <c r="C687" s="73"/>
      <c r="D687" s="73"/>
      <c r="E687" s="73"/>
      <c r="F687" s="73"/>
      <c r="G687" s="73"/>
      <c r="H687" s="73"/>
      <c r="I687" s="73"/>
    </row>
    <row r="688">
      <c r="A688" s="77"/>
      <c r="B688" s="73"/>
      <c r="C688" s="73"/>
      <c r="D688" s="73"/>
      <c r="E688" s="73"/>
      <c r="F688" s="73"/>
      <c r="G688" s="73"/>
      <c r="H688" s="73"/>
      <c r="I688" s="73"/>
    </row>
    <row r="689">
      <c r="A689" s="77"/>
      <c r="B689" s="73"/>
      <c r="C689" s="73"/>
      <c r="D689" s="73"/>
      <c r="E689" s="73"/>
      <c r="F689" s="73"/>
      <c r="G689" s="73"/>
      <c r="H689" s="73"/>
      <c r="I689" s="73"/>
    </row>
    <row r="690">
      <c r="A690" s="77"/>
      <c r="B690" s="73"/>
      <c r="C690" s="73"/>
      <c r="D690" s="73"/>
      <c r="E690" s="73"/>
      <c r="F690" s="73"/>
      <c r="G690" s="73"/>
      <c r="H690" s="73"/>
      <c r="I690" s="73"/>
    </row>
    <row r="691">
      <c r="A691" s="77"/>
      <c r="B691" s="73"/>
      <c r="C691" s="73"/>
      <c r="D691" s="73"/>
      <c r="E691" s="73"/>
      <c r="F691" s="73"/>
      <c r="G691" s="73"/>
      <c r="H691" s="73"/>
      <c r="I691" s="73"/>
    </row>
    <row r="692">
      <c r="A692" s="77"/>
      <c r="B692" s="73"/>
      <c r="C692" s="73"/>
      <c r="D692" s="73"/>
      <c r="E692" s="73"/>
      <c r="F692" s="73"/>
      <c r="G692" s="73"/>
      <c r="H692" s="73"/>
      <c r="I692" s="73"/>
    </row>
    <row r="693">
      <c r="A693" s="77"/>
      <c r="B693" s="73"/>
      <c r="C693" s="73"/>
      <c r="D693" s="73"/>
      <c r="E693" s="73"/>
      <c r="F693" s="73"/>
      <c r="G693" s="73"/>
      <c r="H693" s="73"/>
      <c r="I693" s="73"/>
    </row>
    <row r="694">
      <c r="A694" s="77"/>
      <c r="B694" s="73"/>
      <c r="C694" s="73"/>
      <c r="D694" s="73"/>
      <c r="E694" s="73"/>
      <c r="F694" s="73"/>
      <c r="G694" s="73"/>
      <c r="H694" s="73"/>
      <c r="I694" s="73"/>
    </row>
    <row r="695">
      <c r="A695" s="77"/>
      <c r="B695" s="73"/>
      <c r="C695" s="73"/>
      <c r="D695" s="73"/>
      <c r="E695" s="73"/>
      <c r="F695" s="73"/>
      <c r="G695" s="73"/>
      <c r="H695" s="73"/>
      <c r="I695" s="73"/>
    </row>
    <row r="696">
      <c r="A696" s="77"/>
      <c r="B696" s="73"/>
      <c r="C696" s="73"/>
      <c r="D696" s="73"/>
      <c r="E696" s="73"/>
      <c r="F696" s="73"/>
      <c r="G696" s="73"/>
      <c r="H696" s="73"/>
      <c r="I696" s="73"/>
    </row>
    <row r="697">
      <c r="A697" s="77"/>
      <c r="B697" s="73"/>
      <c r="C697" s="73"/>
      <c r="D697" s="73"/>
      <c r="E697" s="73"/>
      <c r="F697" s="73"/>
      <c r="G697" s="73"/>
      <c r="H697" s="73"/>
      <c r="I697" s="73"/>
    </row>
    <row r="698">
      <c r="A698" s="77"/>
      <c r="B698" s="73"/>
      <c r="C698" s="73"/>
      <c r="D698" s="73"/>
      <c r="E698" s="73"/>
      <c r="F698" s="73"/>
      <c r="G698" s="73"/>
      <c r="H698" s="73"/>
      <c r="I698" s="73"/>
    </row>
    <row r="699">
      <c r="A699" s="77"/>
      <c r="B699" s="73"/>
      <c r="C699" s="73"/>
      <c r="D699" s="73"/>
      <c r="E699" s="73"/>
      <c r="F699" s="73"/>
      <c r="G699" s="73"/>
      <c r="H699" s="73"/>
      <c r="I699" s="73"/>
    </row>
    <row r="700">
      <c r="A700" s="77"/>
      <c r="B700" s="73"/>
      <c r="C700" s="73"/>
      <c r="D700" s="73"/>
      <c r="E700" s="73"/>
      <c r="F700" s="73"/>
      <c r="G700" s="73"/>
      <c r="H700" s="73"/>
      <c r="I700" s="73"/>
    </row>
    <row r="701">
      <c r="A701" s="77"/>
      <c r="B701" s="73"/>
      <c r="C701" s="73"/>
      <c r="D701" s="73"/>
      <c r="E701" s="73"/>
      <c r="F701" s="73"/>
      <c r="G701" s="73"/>
      <c r="H701" s="73"/>
      <c r="I701" s="73"/>
    </row>
    <row r="702">
      <c r="A702" s="77"/>
      <c r="B702" s="73"/>
      <c r="C702" s="73"/>
      <c r="D702" s="73"/>
      <c r="E702" s="73"/>
      <c r="F702" s="73"/>
      <c r="G702" s="73"/>
      <c r="H702" s="73"/>
      <c r="I702" s="73"/>
    </row>
    <row r="703">
      <c r="A703" s="77"/>
      <c r="B703" s="73"/>
      <c r="C703" s="73"/>
      <c r="D703" s="73"/>
      <c r="E703" s="73"/>
      <c r="F703" s="73"/>
      <c r="G703" s="73"/>
      <c r="H703" s="73"/>
      <c r="I703" s="73"/>
    </row>
    <row r="704">
      <c r="A704" s="77"/>
      <c r="B704" s="73"/>
      <c r="C704" s="73"/>
      <c r="D704" s="73"/>
      <c r="E704" s="73"/>
      <c r="F704" s="73"/>
      <c r="G704" s="73"/>
      <c r="H704" s="73"/>
      <c r="I704" s="73"/>
    </row>
    <row r="705">
      <c r="A705" s="77"/>
      <c r="B705" s="73"/>
      <c r="C705" s="73"/>
      <c r="D705" s="73"/>
      <c r="E705" s="73"/>
      <c r="F705" s="73"/>
      <c r="G705" s="73"/>
      <c r="H705" s="73"/>
      <c r="I705" s="73"/>
    </row>
    <row r="706">
      <c r="A706" s="77"/>
      <c r="B706" s="73"/>
      <c r="C706" s="73"/>
      <c r="D706" s="73"/>
      <c r="E706" s="73"/>
      <c r="F706" s="73"/>
      <c r="G706" s="73"/>
      <c r="H706" s="73"/>
      <c r="I706" s="73"/>
    </row>
    <row r="707">
      <c r="A707" s="77"/>
      <c r="B707" s="73"/>
      <c r="C707" s="73"/>
      <c r="D707" s="73"/>
      <c r="E707" s="73"/>
      <c r="F707" s="73"/>
      <c r="G707" s="73"/>
      <c r="H707" s="73"/>
      <c r="I707" s="73"/>
    </row>
    <row r="708">
      <c r="A708" s="77"/>
      <c r="B708" s="73"/>
      <c r="C708" s="73"/>
      <c r="D708" s="73"/>
      <c r="E708" s="73"/>
      <c r="F708" s="73"/>
      <c r="G708" s="73"/>
      <c r="H708" s="73"/>
      <c r="I708" s="73"/>
    </row>
    <row r="709">
      <c r="A709" s="77"/>
      <c r="B709" s="73"/>
      <c r="C709" s="73"/>
      <c r="D709" s="73"/>
      <c r="E709" s="73"/>
      <c r="F709" s="73"/>
      <c r="G709" s="73"/>
      <c r="H709" s="73"/>
      <c r="I709" s="73"/>
    </row>
    <row r="710">
      <c r="A710" s="77"/>
      <c r="B710" s="73"/>
      <c r="C710" s="73"/>
      <c r="D710" s="73"/>
      <c r="E710" s="73"/>
      <c r="F710" s="73"/>
      <c r="G710" s="73"/>
      <c r="H710" s="73"/>
      <c r="I710" s="73"/>
    </row>
    <row r="711">
      <c r="A711" s="77"/>
      <c r="B711" s="73"/>
      <c r="C711" s="73"/>
      <c r="D711" s="73"/>
      <c r="E711" s="73"/>
      <c r="F711" s="73"/>
      <c r="G711" s="73"/>
      <c r="H711" s="73"/>
      <c r="I711" s="73"/>
    </row>
    <row r="712">
      <c r="A712" s="77"/>
      <c r="B712" s="73"/>
      <c r="C712" s="73"/>
      <c r="D712" s="73"/>
      <c r="E712" s="73"/>
      <c r="F712" s="73"/>
      <c r="G712" s="73"/>
      <c r="H712" s="73"/>
      <c r="I712" s="73"/>
    </row>
    <row r="713">
      <c r="A713" s="77"/>
      <c r="B713" s="73"/>
      <c r="C713" s="73"/>
      <c r="D713" s="73"/>
      <c r="E713" s="73"/>
      <c r="F713" s="73"/>
      <c r="G713" s="73"/>
      <c r="H713" s="73"/>
      <c r="I713" s="73"/>
    </row>
    <row r="714">
      <c r="A714" s="77"/>
      <c r="B714" s="73"/>
      <c r="C714" s="73"/>
      <c r="D714" s="73"/>
      <c r="E714" s="73"/>
      <c r="F714" s="73"/>
      <c r="G714" s="73"/>
      <c r="H714" s="73"/>
      <c r="I714" s="73"/>
    </row>
    <row r="715">
      <c r="A715" s="77"/>
      <c r="B715" s="73"/>
      <c r="C715" s="73"/>
      <c r="D715" s="73"/>
      <c r="E715" s="73"/>
      <c r="F715" s="73"/>
      <c r="G715" s="73"/>
      <c r="H715" s="73"/>
      <c r="I715" s="73"/>
    </row>
    <row r="716">
      <c r="A716" s="77"/>
      <c r="B716" s="73"/>
      <c r="C716" s="73"/>
      <c r="D716" s="73"/>
      <c r="E716" s="73"/>
      <c r="F716" s="73"/>
      <c r="G716" s="73"/>
      <c r="H716" s="73"/>
      <c r="I716" s="73"/>
    </row>
    <row r="717">
      <c r="A717" s="77"/>
      <c r="B717" s="73"/>
      <c r="C717" s="73"/>
      <c r="D717" s="73"/>
      <c r="E717" s="73"/>
      <c r="F717" s="73"/>
      <c r="G717" s="73"/>
      <c r="H717" s="73"/>
      <c r="I717" s="73"/>
    </row>
    <row r="718">
      <c r="A718" s="77"/>
      <c r="B718" s="73"/>
      <c r="C718" s="73"/>
      <c r="D718" s="73"/>
      <c r="E718" s="73"/>
      <c r="F718" s="73"/>
      <c r="G718" s="73"/>
      <c r="H718" s="73"/>
      <c r="I718" s="73"/>
    </row>
    <row r="719">
      <c r="A719" s="77"/>
      <c r="B719" s="73"/>
      <c r="C719" s="73"/>
      <c r="D719" s="73"/>
      <c r="E719" s="73"/>
      <c r="F719" s="73"/>
      <c r="G719" s="73"/>
      <c r="H719" s="73"/>
      <c r="I719" s="73"/>
    </row>
    <row r="720">
      <c r="A720" s="77"/>
      <c r="B720" s="73"/>
      <c r="C720" s="73"/>
      <c r="D720" s="73"/>
      <c r="E720" s="73"/>
      <c r="F720" s="73"/>
      <c r="G720" s="73"/>
      <c r="H720" s="73"/>
      <c r="I720" s="73"/>
    </row>
    <row r="721">
      <c r="A721" s="77"/>
      <c r="B721" s="73"/>
      <c r="C721" s="73"/>
      <c r="D721" s="73"/>
      <c r="E721" s="73"/>
      <c r="F721" s="73"/>
      <c r="G721" s="73"/>
      <c r="H721" s="73"/>
      <c r="I721" s="73"/>
    </row>
    <row r="722">
      <c r="A722" s="77"/>
      <c r="B722" s="73"/>
      <c r="C722" s="73"/>
      <c r="D722" s="73"/>
      <c r="E722" s="73"/>
      <c r="F722" s="73"/>
      <c r="G722" s="73"/>
      <c r="H722" s="73"/>
      <c r="I722" s="73"/>
    </row>
    <row r="723">
      <c r="A723" s="77"/>
      <c r="B723" s="73"/>
      <c r="C723" s="73"/>
      <c r="D723" s="73"/>
      <c r="E723" s="73"/>
      <c r="F723" s="73"/>
      <c r="G723" s="73"/>
      <c r="H723" s="73"/>
      <c r="I723" s="73"/>
    </row>
    <row r="724">
      <c r="A724" s="77"/>
      <c r="B724" s="73"/>
      <c r="C724" s="73"/>
      <c r="D724" s="73"/>
      <c r="E724" s="73"/>
      <c r="F724" s="73"/>
      <c r="G724" s="73"/>
      <c r="H724" s="73"/>
      <c r="I724" s="73"/>
    </row>
    <row r="725">
      <c r="A725" s="77"/>
      <c r="B725" s="73"/>
      <c r="C725" s="73"/>
      <c r="D725" s="73"/>
      <c r="E725" s="73"/>
      <c r="F725" s="73"/>
      <c r="G725" s="73"/>
      <c r="H725" s="73"/>
      <c r="I725" s="73"/>
    </row>
    <row r="726">
      <c r="A726" s="77"/>
      <c r="B726" s="73"/>
      <c r="C726" s="73"/>
      <c r="D726" s="73"/>
      <c r="E726" s="73"/>
      <c r="F726" s="73"/>
      <c r="G726" s="73"/>
      <c r="H726" s="73"/>
      <c r="I726" s="73"/>
    </row>
    <row r="727">
      <c r="A727" s="77"/>
      <c r="B727" s="73"/>
      <c r="C727" s="73"/>
      <c r="D727" s="73"/>
      <c r="E727" s="73"/>
      <c r="F727" s="73"/>
      <c r="G727" s="73"/>
      <c r="H727" s="73"/>
      <c r="I727" s="73"/>
    </row>
    <row r="728">
      <c r="A728" s="77"/>
      <c r="B728" s="73"/>
      <c r="C728" s="73"/>
      <c r="D728" s="73"/>
      <c r="E728" s="73"/>
      <c r="F728" s="73"/>
      <c r="G728" s="73"/>
      <c r="H728" s="73"/>
      <c r="I728" s="73"/>
    </row>
    <row r="729">
      <c r="A729" s="77"/>
      <c r="B729" s="73"/>
      <c r="C729" s="73"/>
      <c r="D729" s="73"/>
      <c r="E729" s="73"/>
      <c r="F729" s="73"/>
      <c r="G729" s="73"/>
      <c r="H729" s="73"/>
      <c r="I729" s="73"/>
    </row>
    <row r="730">
      <c r="A730" s="77"/>
      <c r="B730" s="73"/>
      <c r="C730" s="73"/>
      <c r="D730" s="73"/>
      <c r="E730" s="73"/>
      <c r="F730" s="73"/>
      <c r="G730" s="73"/>
      <c r="H730" s="73"/>
      <c r="I730" s="73"/>
    </row>
    <row r="731">
      <c r="A731" s="77"/>
      <c r="B731" s="73"/>
      <c r="C731" s="73"/>
      <c r="D731" s="73"/>
      <c r="E731" s="73"/>
      <c r="F731" s="73"/>
      <c r="G731" s="73"/>
      <c r="H731" s="73"/>
      <c r="I731" s="73"/>
    </row>
    <row r="732">
      <c r="A732" s="77"/>
      <c r="B732" s="73"/>
      <c r="C732" s="73"/>
      <c r="D732" s="73"/>
      <c r="E732" s="73"/>
      <c r="F732" s="73"/>
      <c r="G732" s="73"/>
      <c r="H732" s="73"/>
      <c r="I732" s="73"/>
    </row>
    <row r="733">
      <c r="A733" s="77"/>
      <c r="B733" s="73"/>
      <c r="C733" s="73"/>
      <c r="D733" s="73"/>
      <c r="E733" s="73"/>
      <c r="F733" s="73"/>
      <c r="G733" s="73"/>
      <c r="H733" s="73"/>
      <c r="I733" s="73"/>
    </row>
    <row r="734">
      <c r="A734" s="77"/>
      <c r="B734" s="73"/>
      <c r="C734" s="73"/>
      <c r="D734" s="73"/>
      <c r="E734" s="73"/>
      <c r="F734" s="73"/>
      <c r="G734" s="73"/>
      <c r="H734" s="73"/>
      <c r="I734" s="73"/>
    </row>
    <row r="735">
      <c r="A735" s="77"/>
      <c r="B735" s="73"/>
      <c r="C735" s="73"/>
      <c r="D735" s="73"/>
      <c r="E735" s="73"/>
      <c r="F735" s="73"/>
      <c r="G735" s="73"/>
      <c r="H735" s="73"/>
      <c r="I735" s="73"/>
    </row>
    <row r="736">
      <c r="A736" s="77"/>
      <c r="B736" s="73"/>
      <c r="C736" s="73"/>
      <c r="D736" s="73"/>
      <c r="E736" s="73"/>
      <c r="F736" s="73"/>
      <c r="G736" s="73"/>
      <c r="H736" s="73"/>
      <c r="I736" s="73"/>
    </row>
    <row r="737">
      <c r="A737" s="77"/>
      <c r="B737" s="73"/>
      <c r="C737" s="73"/>
      <c r="D737" s="73"/>
      <c r="E737" s="73"/>
      <c r="F737" s="73"/>
      <c r="G737" s="73"/>
      <c r="H737" s="73"/>
      <c r="I737" s="73"/>
    </row>
    <row r="738">
      <c r="A738" s="77"/>
      <c r="B738" s="73"/>
      <c r="C738" s="73"/>
      <c r="D738" s="73"/>
      <c r="E738" s="73"/>
      <c r="F738" s="73"/>
      <c r="G738" s="73"/>
      <c r="H738" s="73"/>
      <c r="I738" s="73"/>
    </row>
    <row r="739">
      <c r="A739" s="77"/>
      <c r="B739" s="73"/>
      <c r="C739" s="73"/>
      <c r="D739" s="73"/>
      <c r="E739" s="73"/>
      <c r="F739" s="73"/>
      <c r="G739" s="73"/>
      <c r="H739" s="73"/>
      <c r="I739" s="73"/>
    </row>
    <row r="740">
      <c r="A740" s="77"/>
      <c r="B740" s="73"/>
      <c r="C740" s="73"/>
      <c r="D740" s="73"/>
      <c r="E740" s="73"/>
      <c r="F740" s="73"/>
      <c r="G740" s="73"/>
      <c r="H740" s="73"/>
      <c r="I740" s="73"/>
    </row>
    <row r="741">
      <c r="A741" s="77"/>
      <c r="B741" s="73"/>
      <c r="C741" s="73"/>
      <c r="D741" s="73"/>
      <c r="E741" s="73"/>
      <c r="F741" s="73"/>
      <c r="G741" s="73"/>
      <c r="H741" s="73"/>
      <c r="I741" s="73"/>
    </row>
    <row r="742">
      <c r="A742" s="77"/>
      <c r="B742" s="73"/>
      <c r="C742" s="73"/>
      <c r="D742" s="73"/>
      <c r="E742" s="73"/>
      <c r="F742" s="73"/>
      <c r="G742" s="73"/>
      <c r="H742" s="73"/>
      <c r="I742" s="73"/>
    </row>
  </sheetData>
  <mergeCells count="1">
    <mergeCell ref="A2:F2"/>
  </mergeCells>
  <conditionalFormatting sqref="A4:H742">
    <cfRule type="containsBlanks" dxfId="5" priority="1">
      <formula>LEN(TRIM(A4))=0</formula>
    </cfRule>
  </conditionalFormatting>
  <conditionalFormatting sqref="A4:A742">
    <cfRule type="containsText" dxfId="5" priority="2" operator="containsText" text="*Фьючерсный">
      <formula>NOT(ISERROR(SEARCH(("*Фьючерсный"),(A4))))</formula>
    </cfRule>
  </conditionalFormatting>
  <hyperlinks>
    <hyperlink r:id="rId1" ref="H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4CCCC"/>
    <outlinePr summaryRight="0"/>
  </sheetPr>
  <sheetViews>
    <sheetView showGridLines="0" workbookViewId="0">
      <pane ySplit="9.0" topLeftCell="A10" activePane="bottomLeft" state="frozen"/>
      <selection activeCell="B11" sqref="B11" pane="bottomLeft"/>
    </sheetView>
  </sheetViews>
  <sheetFormatPr customHeight="1" defaultColWidth="12.63" defaultRowHeight="15.75" outlineLevelRow="1"/>
  <cols>
    <col customWidth="1" min="1" max="1" width="32.13"/>
    <col customWidth="1" min="2" max="2" width="21.13"/>
    <col customWidth="1" min="3" max="3" width="16.5"/>
    <col customWidth="1" min="4" max="4" width="13.88"/>
    <col customWidth="1" min="5" max="5" width="18.88"/>
    <col customWidth="1" min="6" max="6" width="15.5"/>
    <col customWidth="1" min="7" max="7" width="16.63"/>
    <col customWidth="1" min="8" max="8" width="20.0"/>
    <col customWidth="1" min="9" max="9" width="6.0"/>
    <col customWidth="1" min="10" max="10" width="6.63"/>
    <col customWidth="1" min="11" max="11" width="20.25"/>
    <col customWidth="1" min="12" max="12" width="14.75"/>
  </cols>
  <sheetData>
    <row r="1" ht="12.75" hidden="1" customHeight="1" outlineLevel="1">
      <c r="A1" s="81" t="str">
        <f>IFERROR(__xludf.DUMMYFUNCTION("TRIM(REGEXEXTRACT(IMPORTXML(G5, ""//title""), ""^[^(*]*""))
"),"Фьючерсный контракт на цинк")</f>
        <v>Фьючерсный контракт на цинк</v>
      </c>
      <c r="C1" s="82" t="str">
        <f>IFERROR(__xludf.DUMMYFUNCTION("IMPORTxml(""https://iss.moex.com/iss/engines/futures/markets/forts/securities/"", CONCATENATE(""//row[@SHORTNAME='"",B5,""']/@ASSETCODE""))"),"ZINC")</f>
        <v>ZINC</v>
      </c>
      <c r="D1" s="83">
        <f>IFERROR(__xludf.DUMMYFUNCTION("IMPORTxml(""https://iss.moex.com/iss/engines/futures/markets/forts/securities/"", CONCATENATE(""//row[@LATNAME='"",B5,""']/@LOTVOLUME""))"),100.0)</f>
        <v>100</v>
      </c>
      <c r="E1" s="84">
        <f>IFERROR(__xludf.DUMMYFUNCTION("IMPORTxml(""https://iss.moex.com/iss/statistics/engines/futures/markets/forts/series/"", CONCATENATE(""//row[@name='"",$B5,""']/@expiration_date""))"),46007.0)</f>
        <v>46007</v>
      </c>
      <c r="F1" s="82" t="str">
        <f>IFERROR(__xludf.DUMMYFUNCTION("IMPORTxml(""https://iss.moex.com/iss/engines/futures/markets/forts/securities/"", CONCATENATE(""//row[@LATNAME='"",B5,""']/@SECID""))"),"ZCZ5")</f>
        <v>ZCZ5</v>
      </c>
      <c r="G1" s="85" t="str">
        <f>CONCATENATE("https://www.moex.com/ru/contract.aspx?code=",F5)</f>
        <v>https://www.moex.com/ru/contract.aspx?code=ZCZ5</v>
      </c>
      <c r="H1" s="86"/>
      <c r="I1" s="87"/>
      <c r="J1" s="87"/>
      <c r="M1" s="88"/>
    </row>
    <row r="2" ht="12.0" customHeight="1" collapsed="1">
      <c r="C2" s="86"/>
      <c r="D2" s="86"/>
      <c r="E2" s="86"/>
      <c r="F2" s="86"/>
      <c r="G2" s="86"/>
      <c r="H2" s="86"/>
      <c r="I2" s="87"/>
      <c r="J2" s="87"/>
      <c r="K2" s="89"/>
      <c r="L2" s="90"/>
      <c r="M2" s="88"/>
    </row>
    <row r="3">
      <c r="A3" s="91" t="s">
        <v>44</v>
      </c>
      <c r="I3" s="87"/>
      <c r="J3" s="87"/>
      <c r="K3" s="92" t="s">
        <v>45</v>
      </c>
      <c r="M3" s="88"/>
    </row>
    <row r="4" ht="25.5" customHeight="1">
      <c r="A4" s="93" t="s">
        <v>46</v>
      </c>
      <c r="B4" s="94" t="s">
        <v>1</v>
      </c>
      <c r="C4" s="93" t="s">
        <v>8</v>
      </c>
      <c r="D4" s="95" t="s">
        <v>6</v>
      </c>
      <c r="E4" s="95" t="s">
        <v>7</v>
      </c>
      <c r="F4" s="95" t="s">
        <v>2</v>
      </c>
      <c r="G4" s="93" t="s">
        <v>3</v>
      </c>
      <c r="H4" s="95" t="s">
        <v>47</v>
      </c>
      <c r="I4" s="87"/>
      <c r="J4" s="87"/>
      <c r="K4" s="95" t="s">
        <v>48</v>
      </c>
      <c r="L4" s="96">
        <v>0.2</v>
      </c>
      <c r="M4" s="88"/>
    </row>
    <row r="5" ht="48.0" customHeight="1">
      <c r="A5" s="81" t="str">
        <f>A1</f>
        <v>Фьючерсный контракт на цинк</v>
      </c>
      <c r="B5" s="82" t="s">
        <v>49</v>
      </c>
      <c r="C5" s="82" t="str">
        <f t="shared" ref="C5:G5" si="1">C1</f>
        <v>ZINC</v>
      </c>
      <c r="D5" s="83">
        <f t="shared" si="1"/>
        <v>100</v>
      </c>
      <c r="E5" s="84">
        <f t="shared" si="1"/>
        <v>46007</v>
      </c>
      <c r="F5" s="82" t="str">
        <f t="shared" si="1"/>
        <v>ZCZ5</v>
      </c>
      <c r="G5" s="85" t="str">
        <f t="shared" si="1"/>
        <v>https://www.moex.com/ru/contract.aspx?code=ZCZ5</v>
      </c>
      <c r="H5" s="11"/>
      <c r="I5" s="87"/>
      <c r="J5" s="87"/>
      <c r="K5" s="97"/>
      <c r="L5" s="97"/>
      <c r="M5" s="98"/>
    </row>
    <row r="6">
      <c r="A6" s="11"/>
      <c r="B6" s="11"/>
      <c r="C6" s="11"/>
      <c r="D6" s="11"/>
      <c r="E6" s="11"/>
      <c r="F6" s="11"/>
      <c r="G6" s="11"/>
      <c r="H6" s="11"/>
      <c r="I6" s="87"/>
      <c r="J6" s="87"/>
      <c r="M6" s="88"/>
    </row>
    <row r="7">
      <c r="A7" s="11"/>
      <c r="B7" s="11"/>
      <c r="C7" s="11"/>
      <c r="D7" s="11"/>
      <c r="E7" s="11"/>
      <c r="F7" s="11"/>
      <c r="G7" s="11"/>
      <c r="H7" s="11"/>
      <c r="I7" s="87"/>
      <c r="J7" s="87"/>
      <c r="M7" s="88"/>
    </row>
    <row r="8">
      <c r="A8" s="11"/>
      <c r="B8" s="11"/>
      <c r="C8" s="11"/>
      <c r="D8" s="11"/>
      <c r="E8" s="11"/>
      <c r="F8" s="11"/>
      <c r="G8" s="11"/>
      <c r="H8" s="11"/>
      <c r="I8" s="87"/>
      <c r="J8" s="87"/>
      <c r="K8" s="99" t="s">
        <v>50</v>
      </c>
      <c r="M8" s="88"/>
    </row>
    <row r="9">
      <c r="A9" s="100" t="s">
        <v>46</v>
      </c>
      <c r="B9" s="101" t="s">
        <v>1</v>
      </c>
      <c r="C9" s="101" t="s">
        <v>8</v>
      </c>
      <c r="D9" s="101" t="s">
        <v>6</v>
      </c>
      <c r="E9" s="101" t="s">
        <v>7</v>
      </c>
      <c r="F9" s="101" t="s">
        <v>2</v>
      </c>
      <c r="G9" s="102" t="s">
        <v>3</v>
      </c>
      <c r="H9" s="100" t="s">
        <v>51</v>
      </c>
      <c r="I9" s="87"/>
      <c r="J9" s="87"/>
      <c r="M9" s="88"/>
    </row>
    <row r="10">
      <c r="A10" s="104" t="s">
        <v>52</v>
      </c>
      <c r="B10" s="105" t="s">
        <v>49</v>
      </c>
      <c r="C10" s="105" t="s">
        <v>53</v>
      </c>
      <c r="D10" s="106">
        <v>100.0</v>
      </c>
      <c r="E10" s="107">
        <v>46007.0</v>
      </c>
      <c r="F10" s="105" t="s">
        <v>54</v>
      </c>
      <c r="G10" s="108" t="s">
        <v>55</v>
      </c>
      <c r="H10" s="109" t="str">
        <f t="shared" ref="H10:H189" si="2">IF(E10&lt;NOW(),"удалить","ок")</f>
        <v>ок</v>
      </c>
      <c r="I10" s="110"/>
      <c r="J10" s="88"/>
    </row>
    <row r="11">
      <c r="A11" s="104" t="s">
        <v>57</v>
      </c>
      <c r="B11" s="111" t="s">
        <v>58</v>
      </c>
      <c r="C11" s="111" t="s">
        <v>59</v>
      </c>
      <c r="D11" s="112">
        <v>1.0</v>
      </c>
      <c r="E11" s="113">
        <v>73051.0</v>
      </c>
      <c r="F11" s="111" t="s">
        <v>58</v>
      </c>
      <c r="G11" s="114" t="s">
        <v>60</v>
      </c>
      <c r="H11" s="109" t="str">
        <f t="shared" si="2"/>
        <v>ок</v>
      </c>
      <c r="I11" s="110"/>
      <c r="J11" s="88"/>
    </row>
    <row r="12">
      <c r="A12" s="104" t="s">
        <v>62</v>
      </c>
      <c r="B12" s="111" t="s">
        <v>63</v>
      </c>
      <c r="C12" s="111" t="s">
        <v>64</v>
      </c>
      <c r="D12" s="112">
        <v>10.0</v>
      </c>
      <c r="E12" s="113">
        <v>73051.0</v>
      </c>
      <c r="F12" s="111" t="s">
        <v>63</v>
      </c>
      <c r="G12" s="114" t="s">
        <v>65</v>
      </c>
      <c r="H12" s="109" t="str">
        <f t="shared" si="2"/>
        <v>ок</v>
      </c>
      <c r="I12" s="110"/>
      <c r="J12" s="88"/>
    </row>
    <row r="13">
      <c r="A13" s="104" t="s">
        <v>67</v>
      </c>
      <c r="B13" s="111" t="s">
        <v>68</v>
      </c>
      <c r="C13" s="111" t="s">
        <v>69</v>
      </c>
      <c r="D13" s="112">
        <v>1000.0</v>
      </c>
      <c r="E13" s="113">
        <v>73051.0</v>
      </c>
      <c r="F13" s="111" t="s">
        <v>68</v>
      </c>
      <c r="G13" s="114" t="s">
        <v>70</v>
      </c>
      <c r="H13" s="109" t="str">
        <f t="shared" si="2"/>
        <v>ок</v>
      </c>
      <c r="I13" s="110"/>
      <c r="J13" s="88"/>
    </row>
    <row r="14">
      <c r="A14" s="104" t="s">
        <v>72</v>
      </c>
      <c r="B14" s="111" t="s">
        <v>73</v>
      </c>
      <c r="C14" s="111" t="s">
        <v>74</v>
      </c>
      <c r="D14" s="112">
        <v>1000.0</v>
      </c>
      <c r="E14" s="113">
        <v>73051.0</v>
      </c>
      <c r="F14" s="111" t="s">
        <v>73</v>
      </c>
      <c r="G14" s="114" t="s">
        <v>75</v>
      </c>
      <c r="H14" s="109" t="str">
        <f t="shared" si="2"/>
        <v>ок</v>
      </c>
      <c r="I14" s="88"/>
      <c r="J14" s="88"/>
      <c r="M14" s="88"/>
    </row>
    <row r="15">
      <c r="A15" s="104" t="s">
        <v>77</v>
      </c>
      <c r="B15" s="111" t="s">
        <v>78</v>
      </c>
      <c r="C15" s="111" t="s">
        <v>79</v>
      </c>
      <c r="D15" s="112">
        <v>1000.0</v>
      </c>
      <c r="E15" s="113">
        <v>73051.0</v>
      </c>
      <c r="F15" s="111" t="s">
        <v>78</v>
      </c>
      <c r="G15" s="114" t="s">
        <v>80</v>
      </c>
      <c r="H15" s="109" t="str">
        <f t="shared" si="2"/>
        <v>ок</v>
      </c>
      <c r="I15" s="88"/>
      <c r="J15" s="88"/>
      <c r="M15" s="88"/>
    </row>
    <row r="16">
      <c r="A16" s="104" t="s">
        <v>82</v>
      </c>
      <c r="B16" s="111" t="s">
        <v>83</v>
      </c>
      <c r="C16" s="111" t="s">
        <v>83</v>
      </c>
      <c r="D16" s="112">
        <v>100.0</v>
      </c>
      <c r="E16" s="113">
        <v>73051.0</v>
      </c>
      <c r="F16" s="111" t="s">
        <v>83</v>
      </c>
      <c r="G16" s="114" t="s">
        <v>84</v>
      </c>
      <c r="H16" s="109" t="str">
        <f t="shared" si="2"/>
        <v>ок</v>
      </c>
      <c r="I16" s="88"/>
      <c r="J16" s="88"/>
      <c r="M16" s="88"/>
    </row>
    <row r="17">
      <c r="A17" s="104" t="s">
        <v>86</v>
      </c>
      <c r="B17" s="111" t="s">
        <v>87</v>
      </c>
      <c r="C17" s="111" t="s">
        <v>87</v>
      </c>
      <c r="D17" s="112">
        <v>100.0</v>
      </c>
      <c r="E17" s="113">
        <v>73051.0</v>
      </c>
      <c r="F17" s="111" t="s">
        <v>87</v>
      </c>
      <c r="G17" s="114" t="s">
        <v>88</v>
      </c>
      <c r="H17" s="109" t="str">
        <f t="shared" si="2"/>
        <v>ок</v>
      </c>
      <c r="I17" s="88"/>
      <c r="J17" s="88"/>
      <c r="M17" s="88"/>
    </row>
    <row r="18">
      <c r="A18" s="104" t="s">
        <v>90</v>
      </c>
      <c r="B18" s="111" t="s">
        <v>91</v>
      </c>
      <c r="C18" s="111" t="s">
        <v>92</v>
      </c>
      <c r="D18" s="112">
        <v>1.0</v>
      </c>
      <c r="E18" s="113">
        <v>46100.0</v>
      </c>
      <c r="F18" s="111" t="s">
        <v>93</v>
      </c>
      <c r="G18" s="114" t="s">
        <v>94</v>
      </c>
      <c r="H18" s="109" t="str">
        <f t="shared" si="2"/>
        <v>ок</v>
      </c>
      <c r="I18" s="88"/>
      <c r="J18" s="88"/>
      <c r="M18" s="88"/>
    </row>
    <row r="19">
      <c r="A19" s="104" t="s">
        <v>90</v>
      </c>
      <c r="B19" s="111" t="s">
        <v>96</v>
      </c>
      <c r="C19" s="111" t="s">
        <v>92</v>
      </c>
      <c r="D19" s="112">
        <v>1.0</v>
      </c>
      <c r="E19" s="113">
        <v>46009.0</v>
      </c>
      <c r="F19" s="111" t="s">
        <v>97</v>
      </c>
      <c r="G19" s="114" t="s">
        <v>98</v>
      </c>
      <c r="H19" s="109" t="str">
        <f t="shared" si="2"/>
        <v>ок</v>
      </c>
      <c r="I19" s="88"/>
      <c r="J19" s="88"/>
      <c r="M19" s="88"/>
    </row>
    <row r="20">
      <c r="A20" s="104" t="s">
        <v>100</v>
      </c>
      <c r="B20" s="111" t="s">
        <v>101</v>
      </c>
      <c r="C20" s="111" t="s">
        <v>102</v>
      </c>
      <c r="D20" s="112">
        <v>100.0</v>
      </c>
      <c r="E20" s="113">
        <v>45945.0</v>
      </c>
      <c r="F20" s="111" t="s">
        <v>103</v>
      </c>
      <c r="G20" s="114" t="s">
        <v>104</v>
      </c>
      <c r="H20" s="109" t="str">
        <f t="shared" si="2"/>
        <v>удалить</v>
      </c>
      <c r="I20" s="88"/>
      <c r="J20" s="88"/>
      <c r="M20" s="88"/>
    </row>
    <row r="21">
      <c r="A21" s="104" t="s">
        <v>106</v>
      </c>
      <c r="B21" s="111" t="s">
        <v>34</v>
      </c>
      <c r="C21" s="111" t="s">
        <v>107</v>
      </c>
      <c r="D21" s="112">
        <v>10.0</v>
      </c>
      <c r="E21" s="113">
        <v>46010.0</v>
      </c>
      <c r="F21" s="111" t="s">
        <v>108</v>
      </c>
      <c r="G21" s="114" t="s">
        <v>109</v>
      </c>
      <c r="H21" s="109" t="str">
        <f t="shared" si="2"/>
        <v>ок</v>
      </c>
      <c r="I21" s="88"/>
      <c r="J21" s="88"/>
      <c r="M21" s="88"/>
    </row>
    <row r="22">
      <c r="A22" s="104" t="s">
        <v>110</v>
      </c>
      <c r="B22" s="111" t="s">
        <v>111</v>
      </c>
      <c r="C22" s="111" t="s">
        <v>112</v>
      </c>
      <c r="D22" s="112">
        <v>1.0</v>
      </c>
      <c r="E22" s="113">
        <v>46010.0</v>
      </c>
      <c r="F22" s="111" t="s">
        <v>113</v>
      </c>
      <c r="G22" s="114" t="s">
        <v>114</v>
      </c>
      <c r="H22" s="109" t="str">
        <f t="shared" si="2"/>
        <v>ок</v>
      </c>
      <c r="I22" s="88"/>
      <c r="J22" s="88"/>
      <c r="M22" s="88"/>
    </row>
    <row r="23">
      <c r="A23" s="104" t="s">
        <v>115</v>
      </c>
      <c r="B23" s="111" t="s">
        <v>116</v>
      </c>
      <c r="C23" s="111" t="s">
        <v>117</v>
      </c>
      <c r="D23" s="112">
        <v>1.0</v>
      </c>
      <c r="E23" s="113">
        <v>46010.0</v>
      </c>
      <c r="F23" s="111" t="s">
        <v>118</v>
      </c>
      <c r="G23" s="114" t="s">
        <v>119</v>
      </c>
      <c r="H23" s="109" t="str">
        <f t="shared" si="2"/>
        <v>ок</v>
      </c>
      <c r="I23" s="88"/>
      <c r="J23" s="88"/>
      <c r="M23" s="116"/>
    </row>
    <row r="24">
      <c r="A24" s="104" t="s">
        <v>115</v>
      </c>
      <c r="B24" s="111" t="s">
        <v>121</v>
      </c>
      <c r="C24" s="111" t="s">
        <v>117</v>
      </c>
      <c r="D24" s="112">
        <v>1.0</v>
      </c>
      <c r="E24" s="113">
        <v>46101.0</v>
      </c>
      <c r="F24" s="111" t="s">
        <v>122</v>
      </c>
      <c r="G24" s="114" t="s">
        <v>123</v>
      </c>
      <c r="H24" s="109" t="str">
        <f t="shared" si="2"/>
        <v>ок</v>
      </c>
      <c r="I24" s="88"/>
      <c r="J24" s="88"/>
      <c r="M24" s="117"/>
    </row>
    <row r="25">
      <c r="A25" s="104" t="s">
        <v>125</v>
      </c>
      <c r="B25" s="111" t="s">
        <v>126</v>
      </c>
      <c r="C25" s="111" t="s">
        <v>127</v>
      </c>
      <c r="D25" s="112">
        <v>1.0</v>
      </c>
      <c r="E25" s="113">
        <v>46010.0</v>
      </c>
      <c r="F25" s="111" t="s">
        <v>128</v>
      </c>
      <c r="G25" s="114" t="s">
        <v>129</v>
      </c>
      <c r="H25" s="109" t="str">
        <f t="shared" si="2"/>
        <v>ок</v>
      </c>
      <c r="I25" s="88"/>
      <c r="J25" s="88"/>
      <c r="M25" s="118"/>
    </row>
    <row r="26">
      <c r="A26" s="104" t="s">
        <v>131</v>
      </c>
      <c r="B26" s="111" t="s">
        <v>132</v>
      </c>
      <c r="C26" s="111" t="s">
        <v>133</v>
      </c>
      <c r="D26" s="112">
        <v>1.0</v>
      </c>
      <c r="E26" s="113">
        <v>46010.0</v>
      </c>
      <c r="F26" s="111" t="s">
        <v>134</v>
      </c>
      <c r="G26" s="114" t="s">
        <v>135</v>
      </c>
      <c r="H26" s="109" t="str">
        <f t="shared" si="2"/>
        <v>ок</v>
      </c>
      <c r="I26" s="88"/>
      <c r="J26" s="88"/>
      <c r="M26" s="88"/>
    </row>
    <row r="27">
      <c r="A27" s="104" t="s">
        <v>137</v>
      </c>
      <c r="B27" s="111" t="s">
        <v>138</v>
      </c>
      <c r="C27" s="111" t="s">
        <v>139</v>
      </c>
      <c r="D27" s="112">
        <v>1000.0</v>
      </c>
      <c r="E27" s="113">
        <v>46010.0</v>
      </c>
      <c r="F27" s="111" t="s">
        <v>140</v>
      </c>
      <c r="G27" s="114" t="s">
        <v>141</v>
      </c>
      <c r="H27" s="109" t="str">
        <f t="shared" si="2"/>
        <v>ок</v>
      </c>
      <c r="I27" s="88"/>
      <c r="J27" s="88"/>
      <c r="M27" s="88"/>
    </row>
    <row r="28">
      <c r="A28" s="104" t="s">
        <v>143</v>
      </c>
      <c r="B28" s="111" t="s">
        <v>144</v>
      </c>
      <c r="C28" s="111" t="s">
        <v>145</v>
      </c>
      <c r="D28" s="112">
        <v>100.0</v>
      </c>
      <c r="E28" s="113">
        <v>46010.0</v>
      </c>
      <c r="F28" s="111" t="s">
        <v>146</v>
      </c>
      <c r="G28" s="114" t="s">
        <v>147</v>
      </c>
      <c r="H28" s="109" t="str">
        <f t="shared" si="2"/>
        <v>ок</v>
      </c>
      <c r="I28" s="88"/>
      <c r="J28" s="88"/>
      <c r="M28" s="88"/>
    </row>
    <row r="29">
      <c r="A29" s="104" t="s">
        <v>149</v>
      </c>
      <c r="B29" s="111" t="s">
        <v>120</v>
      </c>
      <c r="C29" s="111" t="s">
        <v>150</v>
      </c>
      <c r="D29" s="112">
        <v>100.0</v>
      </c>
      <c r="E29" s="113">
        <v>46007.0</v>
      </c>
      <c r="F29" s="111" t="s">
        <v>151</v>
      </c>
      <c r="G29" s="114" t="s">
        <v>152</v>
      </c>
      <c r="H29" s="109" t="str">
        <f t="shared" si="2"/>
        <v>ок</v>
      </c>
      <c r="I29" s="88"/>
      <c r="J29" s="88"/>
      <c r="M29" s="88"/>
    </row>
    <row r="30">
      <c r="A30" s="104" t="s">
        <v>153</v>
      </c>
      <c r="B30" s="111" t="s">
        <v>154</v>
      </c>
      <c r="C30" s="111" t="s">
        <v>155</v>
      </c>
      <c r="D30" s="112">
        <v>1.0</v>
      </c>
      <c r="E30" s="113">
        <v>46101.0</v>
      </c>
      <c r="F30" s="111" t="s">
        <v>156</v>
      </c>
      <c r="G30" s="114" t="s">
        <v>157</v>
      </c>
      <c r="H30" s="109" t="str">
        <f t="shared" si="2"/>
        <v>ок</v>
      </c>
      <c r="I30" s="88"/>
      <c r="J30" s="88"/>
      <c r="M30" s="88"/>
    </row>
    <row r="31">
      <c r="A31" s="104" t="s">
        <v>153</v>
      </c>
      <c r="B31" s="111" t="s">
        <v>159</v>
      </c>
      <c r="C31" s="111" t="s">
        <v>155</v>
      </c>
      <c r="D31" s="112">
        <v>1.0</v>
      </c>
      <c r="E31" s="113">
        <v>46010.0</v>
      </c>
      <c r="F31" s="111" t="s">
        <v>160</v>
      </c>
      <c r="G31" s="114" t="s">
        <v>161</v>
      </c>
      <c r="H31" s="109" t="str">
        <f t="shared" si="2"/>
        <v>ок</v>
      </c>
      <c r="I31" s="88"/>
      <c r="J31" s="88"/>
      <c r="M31" s="88"/>
    </row>
    <row r="32">
      <c r="A32" s="104" t="s">
        <v>163</v>
      </c>
      <c r="B32" s="111" t="s">
        <v>17</v>
      </c>
      <c r="C32" s="111" t="s">
        <v>164</v>
      </c>
      <c r="D32" s="112">
        <v>1.0</v>
      </c>
      <c r="E32" s="113">
        <v>46010.0</v>
      </c>
      <c r="F32" s="111" t="s">
        <v>165</v>
      </c>
      <c r="G32" s="114" t="s">
        <v>166</v>
      </c>
      <c r="H32" s="109" t="str">
        <f t="shared" si="2"/>
        <v>ок</v>
      </c>
      <c r="I32" s="88"/>
      <c r="J32" s="88"/>
      <c r="M32" s="88"/>
    </row>
    <row r="33">
      <c r="A33" s="104" t="s">
        <v>168</v>
      </c>
      <c r="B33" s="111" t="s">
        <v>169</v>
      </c>
      <c r="C33" s="111" t="s">
        <v>170</v>
      </c>
      <c r="D33" s="112">
        <v>41.0</v>
      </c>
      <c r="E33" s="113">
        <v>46010.0</v>
      </c>
      <c r="F33" s="111" t="s">
        <v>171</v>
      </c>
      <c r="G33" s="114" t="s">
        <v>172</v>
      </c>
      <c r="H33" s="109" t="str">
        <f t="shared" si="2"/>
        <v>ок</v>
      </c>
      <c r="I33" s="88"/>
      <c r="J33" s="88"/>
      <c r="M33" s="88"/>
    </row>
    <row r="34">
      <c r="A34" s="104" t="s">
        <v>174</v>
      </c>
      <c r="B34" s="111" t="s">
        <v>175</v>
      </c>
      <c r="C34" s="111" t="s">
        <v>176</v>
      </c>
      <c r="D34" s="112">
        <v>1.0</v>
      </c>
      <c r="E34" s="113">
        <v>46010.0</v>
      </c>
      <c r="F34" s="111" t="s">
        <v>177</v>
      </c>
      <c r="G34" s="114" t="s">
        <v>178</v>
      </c>
      <c r="H34" s="109" t="str">
        <f t="shared" si="2"/>
        <v>ок</v>
      </c>
      <c r="I34" s="88"/>
      <c r="J34" s="88"/>
      <c r="M34" s="88"/>
    </row>
    <row r="35">
      <c r="A35" s="104" t="s">
        <v>180</v>
      </c>
      <c r="B35" s="111" t="s">
        <v>181</v>
      </c>
      <c r="C35" s="111" t="s">
        <v>182</v>
      </c>
      <c r="D35" s="112">
        <v>100.0</v>
      </c>
      <c r="E35" s="113">
        <v>46010.0</v>
      </c>
      <c r="F35" s="111" t="s">
        <v>183</v>
      </c>
      <c r="G35" s="114" t="s">
        <v>184</v>
      </c>
      <c r="H35" s="109" t="str">
        <f t="shared" si="2"/>
        <v>ок</v>
      </c>
      <c r="I35" s="88"/>
      <c r="J35" s="88"/>
      <c r="M35" s="88"/>
    </row>
    <row r="36">
      <c r="A36" s="104" t="s">
        <v>186</v>
      </c>
      <c r="B36" s="111" t="s">
        <v>187</v>
      </c>
      <c r="C36" s="111" t="s">
        <v>188</v>
      </c>
      <c r="D36" s="112">
        <v>1.0</v>
      </c>
      <c r="E36" s="113">
        <v>45992.0</v>
      </c>
      <c r="F36" s="111" t="s">
        <v>189</v>
      </c>
      <c r="G36" s="114" t="s">
        <v>190</v>
      </c>
      <c r="H36" s="109" t="str">
        <f t="shared" si="2"/>
        <v>ок</v>
      </c>
      <c r="I36" s="88"/>
      <c r="J36" s="88"/>
      <c r="M36" s="88"/>
    </row>
    <row r="37">
      <c r="A37" s="104" t="s">
        <v>192</v>
      </c>
      <c r="B37" s="111" t="s">
        <v>193</v>
      </c>
      <c r="C37" s="111" t="s">
        <v>194</v>
      </c>
      <c r="D37" s="112">
        <v>1.0</v>
      </c>
      <c r="E37" s="113">
        <v>46100.0</v>
      </c>
      <c r="F37" s="111" t="s">
        <v>195</v>
      </c>
      <c r="G37" s="114" t="s">
        <v>196</v>
      </c>
      <c r="H37" s="109" t="str">
        <f t="shared" si="2"/>
        <v>ок</v>
      </c>
      <c r="I37" s="88"/>
      <c r="J37" s="88"/>
      <c r="M37" s="88"/>
    </row>
    <row r="38">
      <c r="A38" s="104" t="s">
        <v>192</v>
      </c>
      <c r="B38" s="111" t="s">
        <v>197</v>
      </c>
      <c r="C38" s="111" t="s">
        <v>198</v>
      </c>
      <c r="D38" s="112">
        <v>1.0</v>
      </c>
      <c r="E38" s="113">
        <v>46100.0</v>
      </c>
      <c r="F38" s="111" t="s">
        <v>199</v>
      </c>
      <c r="G38" s="114" t="s">
        <v>200</v>
      </c>
      <c r="H38" s="109" t="str">
        <f t="shared" si="2"/>
        <v>ок</v>
      </c>
      <c r="I38" s="88"/>
      <c r="J38" s="88"/>
      <c r="M38" s="88"/>
    </row>
    <row r="39">
      <c r="A39" s="104" t="s">
        <v>192</v>
      </c>
      <c r="B39" s="111" t="s">
        <v>202</v>
      </c>
      <c r="C39" s="111" t="s">
        <v>198</v>
      </c>
      <c r="D39" s="112">
        <v>1.0</v>
      </c>
      <c r="E39" s="113">
        <v>46009.0</v>
      </c>
      <c r="F39" s="111" t="s">
        <v>203</v>
      </c>
      <c r="G39" s="114" t="s">
        <v>204</v>
      </c>
      <c r="H39" s="109" t="str">
        <f t="shared" si="2"/>
        <v>ок</v>
      </c>
      <c r="I39" s="88"/>
      <c r="J39" s="88"/>
      <c r="M39" s="88"/>
    </row>
    <row r="40">
      <c r="A40" s="104" t="s">
        <v>192</v>
      </c>
      <c r="B40" s="111" t="s">
        <v>205</v>
      </c>
      <c r="C40" s="111" t="s">
        <v>194</v>
      </c>
      <c r="D40" s="112">
        <v>1.0</v>
      </c>
      <c r="E40" s="113">
        <v>46282.0</v>
      </c>
      <c r="F40" s="111" t="s">
        <v>206</v>
      </c>
      <c r="G40" s="114" t="s">
        <v>207</v>
      </c>
      <c r="H40" s="109" t="str">
        <f t="shared" si="2"/>
        <v>ок</v>
      </c>
      <c r="I40" s="88"/>
      <c r="J40" s="88"/>
      <c r="M40" s="88"/>
    </row>
    <row r="41">
      <c r="A41" s="104" t="s">
        <v>192</v>
      </c>
      <c r="B41" s="111" t="s">
        <v>209</v>
      </c>
      <c r="C41" s="111" t="s">
        <v>194</v>
      </c>
      <c r="D41" s="112">
        <v>1.0</v>
      </c>
      <c r="E41" s="113">
        <v>46555.0</v>
      </c>
      <c r="F41" s="111" t="s">
        <v>210</v>
      </c>
      <c r="G41" s="114" t="s">
        <v>211</v>
      </c>
      <c r="H41" s="109" t="str">
        <f t="shared" si="2"/>
        <v>ок</v>
      </c>
      <c r="I41" s="88"/>
      <c r="J41" s="88"/>
      <c r="M41" s="88"/>
    </row>
    <row r="42">
      <c r="A42" s="104" t="s">
        <v>192</v>
      </c>
      <c r="B42" s="111" t="s">
        <v>213</v>
      </c>
      <c r="C42" s="111" t="s">
        <v>194</v>
      </c>
      <c r="D42" s="112">
        <v>1.0</v>
      </c>
      <c r="E42" s="113">
        <v>46191.0</v>
      </c>
      <c r="F42" s="111" t="s">
        <v>214</v>
      </c>
      <c r="G42" s="114" t="s">
        <v>215</v>
      </c>
      <c r="H42" s="109" t="str">
        <f t="shared" si="2"/>
        <v>ок</v>
      </c>
      <c r="I42" s="88"/>
      <c r="J42" s="88"/>
      <c r="M42" s="88"/>
    </row>
    <row r="43">
      <c r="A43" s="104" t="s">
        <v>192</v>
      </c>
      <c r="B43" s="111" t="s">
        <v>217</v>
      </c>
      <c r="C43" s="111" t="s">
        <v>194</v>
      </c>
      <c r="D43" s="112">
        <v>1.0</v>
      </c>
      <c r="E43" s="113">
        <v>46464.0</v>
      </c>
      <c r="F43" s="111" t="s">
        <v>218</v>
      </c>
      <c r="G43" s="114" t="s">
        <v>219</v>
      </c>
      <c r="H43" s="109" t="str">
        <f t="shared" si="2"/>
        <v>ок</v>
      </c>
      <c r="I43" s="88"/>
      <c r="J43" s="88"/>
      <c r="M43" s="88"/>
    </row>
    <row r="44">
      <c r="A44" s="104" t="s">
        <v>192</v>
      </c>
      <c r="B44" s="111" t="s">
        <v>221</v>
      </c>
      <c r="C44" s="111" t="s">
        <v>194</v>
      </c>
      <c r="D44" s="112">
        <v>1.0</v>
      </c>
      <c r="E44" s="113">
        <v>46737.0</v>
      </c>
      <c r="F44" s="111" t="s">
        <v>222</v>
      </c>
      <c r="G44" s="114" t="s">
        <v>223</v>
      </c>
      <c r="H44" s="109" t="str">
        <f t="shared" si="2"/>
        <v>ок</v>
      </c>
      <c r="I44" s="88"/>
      <c r="J44" s="88"/>
      <c r="M44" s="88"/>
    </row>
    <row r="45">
      <c r="A45" s="104" t="s">
        <v>192</v>
      </c>
      <c r="B45" s="111" t="s">
        <v>224</v>
      </c>
      <c r="C45" s="111" t="s">
        <v>194</v>
      </c>
      <c r="D45" s="112">
        <v>1.0</v>
      </c>
      <c r="E45" s="113">
        <v>46373.0</v>
      </c>
      <c r="F45" s="111" t="s">
        <v>225</v>
      </c>
      <c r="G45" s="114" t="s">
        <v>226</v>
      </c>
      <c r="H45" s="109" t="str">
        <f t="shared" si="2"/>
        <v>ок</v>
      </c>
      <c r="I45" s="88"/>
      <c r="J45" s="88"/>
      <c r="M45" s="88"/>
    </row>
    <row r="46">
      <c r="A46" s="104" t="s">
        <v>228</v>
      </c>
      <c r="B46" s="111" t="s">
        <v>229</v>
      </c>
      <c r="C46" s="111" t="s">
        <v>230</v>
      </c>
      <c r="D46" s="112">
        <v>1.0</v>
      </c>
      <c r="E46" s="113">
        <v>46100.0</v>
      </c>
      <c r="F46" s="111" t="s">
        <v>231</v>
      </c>
      <c r="G46" s="114" t="s">
        <v>232</v>
      </c>
      <c r="H46" s="109" t="str">
        <f t="shared" si="2"/>
        <v>ок</v>
      </c>
      <c r="I46" s="88"/>
      <c r="J46" s="88"/>
      <c r="M46" s="88"/>
    </row>
    <row r="47">
      <c r="A47" s="104" t="s">
        <v>233</v>
      </c>
      <c r="B47" s="111" t="s">
        <v>234</v>
      </c>
      <c r="C47" s="111" t="s">
        <v>235</v>
      </c>
      <c r="D47" s="112">
        <v>1.0</v>
      </c>
      <c r="E47" s="113">
        <v>46099.0</v>
      </c>
      <c r="F47" s="111" t="s">
        <v>236</v>
      </c>
      <c r="G47" s="114" t="s">
        <v>237</v>
      </c>
      <c r="H47" s="109" t="str">
        <f t="shared" si="2"/>
        <v>ок</v>
      </c>
      <c r="I47" s="88"/>
      <c r="J47" s="88"/>
      <c r="M47" s="88"/>
    </row>
    <row r="48">
      <c r="A48" s="104" t="s">
        <v>233</v>
      </c>
      <c r="B48" s="111" t="s">
        <v>238</v>
      </c>
      <c r="C48" s="111" t="s">
        <v>235</v>
      </c>
      <c r="D48" s="112">
        <v>1.0</v>
      </c>
      <c r="E48" s="113">
        <v>46015.0</v>
      </c>
      <c r="F48" s="111" t="s">
        <v>239</v>
      </c>
      <c r="G48" s="114" t="s">
        <v>240</v>
      </c>
      <c r="H48" s="109" t="str">
        <f t="shared" si="2"/>
        <v>ок</v>
      </c>
      <c r="I48" s="88"/>
      <c r="J48" s="88"/>
      <c r="M48" s="88"/>
    </row>
    <row r="49">
      <c r="A49" s="104" t="s">
        <v>242</v>
      </c>
      <c r="B49" s="111" t="s">
        <v>243</v>
      </c>
      <c r="C49" s="111" t="s">
        <v>244</v>
      </c>
      <c r="D49" s="112">
        <v>1.0</v>
      </c>
      <c r="E49" s="113">
        <v>46100.0</v>
      </c>
      <c r="F49" s="111" t="s">
        <v>245</v>
      </c>
      <c r="G49" s="114" t="s">
        <v>246</v>
      </c>
      <c r="H49" s="109" t="str">
        <f t="shared" si="2"/>
        <v>ок</v>
      </c>
      <c r="I49" s="88"/>
      <c r="J49" s="88"/>
      <c r="M49" s="88"/>
    </row>
    <row r="50">
      <c r="A50" s="104" t="s">
        <v>242</v>
      </c>
      <c r="B50" s="111" t="s">
        <v>247</v>
      </c>
      <c r="C50" s="111" t="s">
        <v>248</v>
      </c>
      <c r="D50" s="112">
        <v>1.0</v>
      </c>
      <c r="E50" s="113">
        <v>46191.0</v>
      </c>
      <c r="F50" s="111" t="s">
        <v>249</v>
      </c>
      <c r="G50" s="114" t="s">
        <v>250</v>
      </c>
      <c r="H50" s="109" t="str">
        <f t="shared" si="2"/>
        <v>ок</v>
      </c>
      <c r="I50" s="88"/>
      <c r="J50" s="88"/>
      <c r="M50" s="88"/>
    </row>
    <row r="51">
      <c r="A51" s="104" t="s">
        <v>242</v>
      </c>
      <c r="B51" s="111" t="s">
        <v>252</v>
      </c>
      <c r="C51" s="111" t="s">
        <v>248</v>
      </c>
      <c r="D51" s="112">
        <v>1.0</v>
      </c>
      <c r="E51" s="113">
        <v>46373.0</v>
      </c>
      <c r="F51" s="111" t="s">
        <v>253</v>
      </c>
      <c r="G51" s="114" t="s">
        <v>254</v>
      </c>
      <c r="H51" s="109" t="str">
        <f t="shared" si="2"/>
        <v>ок</v>
      </c>
      <c r="I51" s="88"/>
      <c r="J51" s="88"/>
      <c r="M51" s="88"/>
    </row>
    <row r="52">
      <c r="A52" s="104" t="s">
        <v>242</v>
      </c>
      <c r="B52" s="111" t="s">
        <v>256</v>
      </c>
      <c r="C52" s="111" t="s">
        <v>248</v>
      </c>
      <c r="D52" s="112">
        <v>1.0</v>
      </c>
      <c r="E52" s="113">
        <v>46009.0</v>
      </c>
      <c r="F52" s="111" t="s">
        <v>257</v>
      </c>
      <c r="G52" s="114" t="s">
        <v>258</v>
      </c>
      <c r="H52" s="109" t="str">
        <f t="shared" si="2"/>
        <v>ок</v>
      </c>
      <c r="I52" s="88"/>
      <c r="J52" s="88"/>
      <c r="M52" s="88"/>
    </row>
    <row r="53">
      <c r="A53" s="104" t="s">
        <v>242</v>
      </c>
      <c r="B53" s="111" t="s">
        <v>260</v>
      </c>
      <c r="C53" s="111" t="s">
        <v>244</v>
      </c>
      <c r="D53" s="112">
        <v>1.0</v>
      </c>
      <c r="E53" s="113">
        <v>46009.0</v>
      </c>
      <c r="F53" s="111" t="s">
        <v>261</v>
      </c>
      <c r="G53" s="114" t="s">
        <v>262</v>
      </c>
      <c r="H53" s="109" t="str">
        <f t="shared" si="2"/>
        <v>ок</v>
      </c>
      <c r="I53" s="88"/>
      <c r="J53" s="88"/>
      <c r="M53" s="88"/>
    </row>
    <row r="54">
      <c r="A54" s="104" t="s">
        <v>242</v>
      </c>
      <c r="B54" s="111" t="s">
        <v>264</v>
      </c>
      <c r="C54" s="111" t="s">
        <v>248</v>
      </c>
      <c r="D54" s="112">
        <v>1.0</v>
      </c>
      <c r="E54" s="113">
        <v>46282.0</v>
      </c>
      <c r="F54" s="111" t="s">
        <v>265</v>
      </c>
      <c r="G54" s="114" t="s">
        <v>266</v>
      </c>
      <c r="H54" s="109" t="str">
        <f t="shared" si="2"/>
        <v>ок</v>
      </c>
      <c r="I54" s="88"/>
      <c r="J54" s="88"/>
      <c r="M54" s="88"/>
    </row>
    <row r="55">
      <c r="A55" s="104" t="s">
        <v>242</v>
      </c>
      <c r="B55" s="111" t="s">
        <v>267</v>
      </c>
      <c r="C55" s="111" t="s">
        <v>248</v>
      </c>
      <c r="D55" s="112">
        <v>1.0</v>
      </c>
      <c r="E55" s="113">
        <v>46464.0</v>
      </c>
      <c r="F55" s="111" t="s">
        <v>268</v>
      </c>
      <c r="G55" s="114" t="s">
        <v>269</v>
      </c>
      <c r="H55" s="109" t="str">
        <f t="shared" si="2"/>
        <v>ок</v>
      </c>
      <c r="I55" s="88"/>
      <c r="J55" s="88"/>
      <c r="M55" s="88"/>
    </row>
    <row r="56">
      <c r="A56" s="104" t="s">
        <v>242</v>
      </c>
      <c r="B56" s="111" t="s">
        <v>270</v>
      </c>
      <c r="C56" s="111" t="s">
        <v>248</v>
      </c>
      <c r="D56" s="112">
        <v>1.0</v>
      </c>
      <c r="E56" s="113">
        <v>46100.0</v>
      </c>
      <c r="F56" s="111" t="s">
        <v>271</v>
      </c>
      <c r="G56" s="114" t="s">
        <v>272</v>
      </c>
      <c r="H56" s="109" t="str">
        <f t="shared" si="2"/>
        <v>ок</v>
      </c>
      <c r="I56" s="88"/>
      <c r="J56" s="88"/>
      <c r="M56" s="88"/>
    </row>
    <row r="57">
      <c r="A57" s="104" t="s">
        <v>274</v>
      </c>
      <c r="B57" s="111" t="s">
        <v>130</v>
      </c>
      <c r="C57" s="111" t="s">
        <v>275</v>
      </c>
      <c r="D57" s="112">
        <v>100000.0</v>
      </c>
      <c r="E57" s="113">
        <v>46100.0</v>
      </c>
      <c r="F57" s="111" t="s">
        <v>276</v>
      </c>
      <c r="G57" s="114" t="s">
        <v>277</v>
      </c>
      <c r="H57" s="109" t="str">
        <f t="shared" si="2"/>
        <v>ок</v>
      </c>
      <c r="I57" s="88"/>
      <c r="J57" s="88"/>
      <c r="M57" s="88"/>
    </row>
    <row r="58">
      <c r="A58" s="104" t="s">
        <v>274</v>
      </c>
      <c r="B58" s="111" t="s">
        <v>124</v>
      </c>
      <c r="C58" s="111" t="s">
        <v>275</v>
      </c>
      <c r="D58" s="112">
        <v>100000.0</v>
      </c>
      <c r="E58" s="113">
        <v>46009.0</v>
      </c>
      <c r="F58" s="111" t="s">
        <v>279</v>
      </c>
      <c r="G58" s="114" t="s">
        <v>280</v>
      </c>
      <c r="H58" s="109" t="str">
        <f t="shared" si="2"/>
        <v>ок</v>
      </c>
      <c r="I58" s="88"/>
      <c r="J58" s="88"/>
      <c r="M58" s="88"/>
    </row>
    <row r="59">
      <c r="A59" s="104" t="s">
        <v>281</v>
      </c>
      <c r="B59" s="111" t="s">
        <v>282</v>
      </c>
      <c r="C59" s="111" t="s">
        <v>283</v>
      </c>
      <c r="D59" s="112">
        <v>1000.0</v>
      </c>
      <c r="E59" s="113">
        <v>46100.0</v>
      </c>
      <c r="F59" s="111" t="s">
        <v>284</v>
      </c>
      <c r="G59" s="114" t="s">
        <v>285</v>
      </c>
      <c r="H59" s="109" t="str">
        <f t="shared" si="2"/>
        <v>ок</v>
      </c>
      <c r="I59" s="88"/>
      <c r="J59" s="88"/>
      <c r="M59" s="88"/>
    </row>
    <row r="60">
      <c r="A60" s="104" t="s">
        <v>281</v>
      </c>
      <c r="B60" s="111" t="s">
        <v>286</v>
      </c>
      <c r="C60" s="111" t="s">
        <v>283</v>
      </c>
      <c r="D60" s="112">
        <v>1000.0</v>
      </c>
      <c r="E60" s="113">
        <v>46009.0</v>
      </c>
      <c r="F60" s="111" t="s">
        <v>287</v>
      </c>
      <c r="G60" s="114" t="s">
        <v>288</v>
      </c>
      <c r="H60" s="109" t="str">
        <f t="shared" si="2"/>
        <v>ок</v>
      </c>
      <c r="I60" s="88"/>
      <c r="J60" s="88"/>
      <c r="M60" s="88"/>
    </row>
    <row r="61">
      <c r="A61" s="119" t="s">
        <v>290</v>
      </c>
      <c r="B61" s="111" t="s">
        <v>95</v>
      </c>
      <c r="C61" s="111" t="s">
        <v>291</v>
      </c>
      <c r="D61" s="112">
        <v>1000.0</v>
      </c>
      <c r="E61" s="113">
        <v>46009.0</v>
      </c>
      <c r="F61" s="111" t="s">
        <v>292</v>
      </c>
      <c r="G61" s="114" t="s">
        <v>293</v>
      </c>
      <c r="H61" s="109" t="str">
        <f t="shared" si="2"/>
        <v>ок</v>
      </c>
      <c r="I61" s="88"/>
      <c r="J61" s="88"/>
      <c r="M61" s="88"/>
    </row>
    <row r="62">
      <c r="A62" s="104" t="s">
        <v>290</v>
      </c>
      <c r="B62" s="111" t="s">
        <v>99</v>
      </c>
      <c r="C62" s="111" t="s">
        <v>291</v>
      </c>
      <c r="D62" s="112">
        <v>1000.0</v>
      </c>
      <c r="E62" s="113">
        <v>46100.0</v>
      </c>
      <c r="F62" s="111" t="s">
        <v>295</v>
      </c>
      <c r="G62" s="114" t="s">
        <v>296</v>
      </c>
      <c r="H62" s="109" t="str">
        <f t="shared" si="2"/>
        <v>ок</v>
      </c>
      <c r="I62" s="88"/>
      <c r="J62" s="88"/>
      <c r="M62" s="88"/>
    </row>
    <row r="63">
      <c r="A63" s="104" t="s">
        <v>297</v>
      </c>
      <c r="B63" s="111" t="s">
        <v>298</v>
      </c>
      <c r="C63" s="111" t="s">
        <v>299</v>
      </c>
      <c r="D63" s="112">
        <v>1000.0</v>
      </c>
      <c r="E63" s="113">
        <v>46282.0</v>
      </c>
      <c r="F63" s="111" t="s">
        <v>300</v>
      </c>
      <c r="G63" s="114" t="s">
        <v>301</v>
      </c>
      <c r="H63" s="109" t="str">
        <f t="shared" si="2"/>
        <v>ок</v>
      </c>
      <c r="I63" s="88"/>
      <c r="J63" s="88"/>
      <c r="M63" s="88"/>
    </row>
    <row r="64">
      <c r="A64" s="104" t="s">
        <v>297</v>
      </c>
      <c r="B64" s="111" t="s">
        <v>302</v>
      </c>
      <c r="C64" s="111" t="s">
        <v>299</v>
      </c>
      <c r="D64" s="112">
        <v>1000.0</v>
      </c>
      <c r="E64" s="113">
        <v>46191.0</v>
      </c>
      <c r="F64" s="111" t="s">
        <v>303</v>
      </c>
      <c r="G64" s="114" t="s">
        <v>304</v>
      </c>
      <c r="H64" s="109" t="str">
        <f t="shared" si="2"/>
        <v>ок</v>
      </c>
      <c r="I64" s="88"/>
      <c r="J64" s="88"/>
      <c r="M64" s="88"/>
    </row>
    <row r="65">
      <c r="A65" s="104" t="s">
        <v>297</v>
      </c>
      <c r="B65" s="111" t="s">
        <v>305</v>
      </c>
      <c r="C65" s="111" t="s">
        <v>299</v>
      </c>
      <c r="D65" s="112">
        <v>1000.0</v>
      </c>
      <c r="E65" s="113">
        <v>46373.0</v>
      </c>
      <c r="F65" s="111" t="s">
        <v>306</v>
      </c>
      <c r="G65" s="114" t="s">
        <v>307</v>
      </c>
      <c r="H65" s="109" t="str">
        <f t="shared" si="2"/>
        <v>ок</v>
      </c>
      <c r="I65" s="88"/>
      <c r="J65" s="88"/>
      <c r="M65" s="88"/>
    </row>
    <row r="66">
      <c r="A66" s="104" t="s">
        <v>297</v>
      </c>
      <c r="B66" s="111" t="s">
        <v>309</v>
      </c>
      <c r="C66" s="111" t="s">
        <v>299</v>
      </c>
      <c r="D66" s="112">
        <v>1000.0</v>
      </c>
      <c r="E66" s="113">
        <v>46009.0</v>
      </c>
      <c r="F66" s="111" t="s">
        <v>310</v>
      </c>
      <c r="G66" s="114" t="s">
        <v>311</v>
      </c>
      <c r="H66" s="109" t="str">
        <f t="shared" si="2"/>
        <v>ок</v>
      </c>
      <c r="I66" s="88"/>
      <c r="J66" s="88"/>
      <c r="M66" s="88"/>
    </row>
    <row r="67">
      <c r="A67" s="104" t="s">
        <v>297</v>
      </c>
      <c r="B67" s="111" t="s">
        <v>312</v>
      </c>
      <c r="C67" s="111" t="s">
        <v>299</v>
      </c>
      <c r="D67" s="112">
        <v>1000.0</v>
      </c>
      <c r="E67" s="113">
        <v>46464.0</v>
      </c>
      <c r="F67" s="111" t="s">
        <v>313</v>
      </c>
      <c r="G67" s="114" t="s">
        <v>314</v>
      </c>
      <c r="H67" s="109" t="str">
        <f t="shared" si="2"/>
        <v>ок</v>
      </c>
      <c r="I67" s="88"/>
      <c r="J67" s="88"/>
      <c r="M67" s="88"/>
    </row>
    <row r="68">
      <c r="A68" s="104" t="s">
        <v>297</v>
      </c>
      <c r="B68" s="111" t="s">
        <v>315</v>
      </c>
      <c r="C68" s="111" t="s">
        <v>299</v>
      </c>
      <c r="D68" s="112">
        <v>1000.0</v>
      </c>
      <c r="E68" s="113">
        <v>46100.0</v>
      </c>
      <c r="F68" s="111" t="s">
        <v>316</v>
      </c>
      <c r="G68" s="114" t="s">
        <v>317</v>
      </c>
      <c r="H68" s="109" t="str">
        <f t="shared" si="2"/>
        <v>ок</v>
      </c>
      <c r="I68" s="88"/>
      <c r="J68" s="88"/>
      <c r="M68" s="88"/>
    </row>
    <row r="69">
      <c r="A69" s="104" t="s">
        <v>318</v>
      </c>
      <c r="B69" s="111" t="s">
        <v>319</v>
      </c>
      <c r="C69" s="111" t="s">
        <v>320</v>
      </c>
      <c r="D69" s="112">
        <v>1000.0</v>
      </c>
      <c r="E69" s="113">
        <v>46009.0</v>
      </c>
      <c r="F69" s="111" t="s">
        <v>321</v>
      </c>
      <c r="G69" s="114" t="s">
        <v>322</v>
      </c>
      <c r="H69" s="109" t="str">
        <f t="shared" si="2"/>
        <v>ок</v>
      </c>
      <c r="I69" s="88"/>
      <c r="J69" s="88"/>
      <c r="M69" s="88"/>
    </row>
    <row r="70">
      <c r="A70" s="104" t="s">
        <v>323</v>
      </c>
      <c r="B70" s="111" t="s">
        <v>324</v>
      </c>
      <c r="C70" s="111" t="s">
        <v>325</v>
      </c>
      <c r="D70" s="112">
        <v>1000.0</v>
      </c>
      <c r="E70" s="113">
        <v>46009.0</v>
      </c>
      <c r="F70" s="111" t="s">
        <v>326</v>
      </c>
      <c r="G70" s="120" t="s">
        <v>327</v>
      </c>
      <c r="H70" s="109" t="str">
        <f t="shared" si="2"/>
        <v>ок</v>
      </c>
      <c r="I70" s="88"/>
      <c r="J70" s="88"/>
      <c r="M70" s="88"/>
    </row>
    <row r="71">
      <c r="A71" s="104" t="s">
        <v>323</v>
      </c>
      <c r="B71" s="111" t="s">
        <v>328</v>
      </c>
      <c r="C71" s="111" t="s">
        <v>325</v>
      </c>
      <c r="D71" s="112">
        <v>1000.0</v>
      </c>
      <c r="E71" s="113">
        <v>46100.0</v>
      </c>
      <c r="F71" s="111" t="s">
        <v>329</v>
      </c>
      <c r="G71" s="114" t="s">
        <v>330</v>
      </c>
      <c r="H71" s="109" t="str">
        <f t="shared" si="2"/>
        <v>ок</v>
      </c>
      <c r="I71" s="88"/>
      <c r="J71" s="88"/>
      <c r="M71" s="88"/>
    </row>
    <row r="72">
      <c r="A72" s="104" t="s">
        <v>331</v>
      </c>
      <c r="B72" s="111" t="s">
        <v>241</v>
      </c>
      <c r="C72" s="111" t="s">
        <v>332</v>
      </c>
      <c r="D72" s="112">
        <v>1000.0</v>
      </c>
      <c r="E72" s="113">
        <v>46009.0</v>
      </c>
      <c r="F72" s="111" t="s">
        <v>333</v>
      </c>
      <c r="G72" s="114" t="s">
        <v>334</v>
      </c>
      <c r="H72" s="109" t="str">
        <f t="shared" si="2"/>
        <v>ок</v>
      </c>
      <c r="I72" s="88"/>
      <c r="J72" s="88"/>
      <c r="M72" s="88"/>
    </row>
    <row r="73">
      <c r="A73" s="104" t="s">
        <v>335</v>
      </c>
      <c r="B73" s="111" t="s">
        <v>263</v>
      </c>
      <c r="C73" s="111" t="s">
        <v>336</v>
      </c>
      <c r="D73" s="112">
        <v>1000.0</v>
      </c>
      <c r="E73" s="113">
        <v>46282.0</v>
      </c>
      <c r="F73" s="111" t="s">
        <v>337</v>
      </c>
      <c r="G73" s="114" t="s">
        <v>338</v>
      </c>
      <c r="H73" s="109" t="str">
        <f t="shared" si="2"/>
        <v>ок</v>
      </c>
      <c r="I73" s="88"/>
      <c r="J73" s="88"/>
      <c r="M73" s="88"/>
    </row>
    <row r="74">
      <c r="A74" s="104" t="s">
        <v>335</v>
      </c>
      <c r="B74" s="111" t="s">
        <v>259</v>
      </c>
      <c r="C74" s="111" t="s">
        <v>336</v>
      </c>
      <c r="D74" s="112">
        <v>1000.0</v>
      </c>
      <c r="E74" s="113">
        <v>46191.0</v>
      </c>
      <c r="F74" s="111" t="s">
        <v>340</v>
      </c>
      <c r="G74" s="114" t="s">
        <v>341</v>
      </c>
      <c r="H74" s="109" t="str">
        <f t="shared" si="2"/>
        <v>ок</v>
      </c>
      <c r="I74" s="88"/>
      <c r="J74" s="88"/>
      <c r="M74" s="88"/>
    </row>
    <row r="75">
      <c r="A75" s="104" t="s">
        <v>335</v>
      </c>
      <c r="B75" s="111" t="s">
        <v>255</v>
      </c>
      <c r="C75" s="111" t="s">
        <v>336</v>
      </c>
      <c r="D75" s="112">
        <v>1000.0</v>
      </c>
      <c r="E75" s="113">
        <v>46100.0</v>
      </c>
      <c r="F75" s="111" t="s">
        <v>342</v>
      </c>
      <c r="G75" s="114" t="s">
        <v>343</v>
      </c>
      <c r="H75" s="109" t="str">
        <f t="shared" si="2"/>
        <v>ок</v>
      </c>
      <c r="I75" s="88"/>
      <c r="J75" s="88"/>
      <c r="M75" s="88"/>
    </row>
    <row r="76">
      <c r="A76" s="104" t="s">
        <v>335</v>
      </c>
      <c r="B76" s="111" t="s">
        <v>251</v>
      </c>
      <c r="C76" s="111" t="s">
        <v>336</v>
      </c>
      <c r="D76" s="112">
        <v>1000.0</v>
      </c>
      <c r="E76" s="113">
        <v>46009.0</v>
      </c>
      <c r="F76" s="111" t="s">
        <v>344</v>
      </c>
      <c r="G76" s="114" t="s">
        <v>345</v>
      </c>
      <c r="H76" s="109" t="str">
        <f t="shared" si="2"/>
        <v>ок</v>
      </c>
      <c r="I76" s="88"/>
      <c r="J76" s="88"/>
      <c r="M76" s="88"/>
    </row>
    <row r="77">
      <c r="A77" s="104" t="s">
        <v>346</v>
      </c>
      <c r="B77" s="111" t="s">
        <v>347</v>
      </c>
      <c r="C77" s="111" t="s">
        <v>348</v>
      </c>
      <c r="D77" s="112">
        <v>10000.0</v>
      </c>
      <c r="E77" s="113">
        <v>46100.0</v>
      </c>
      <c r="F77" s="111" t="s">
        <v>349</v>
      </c>
      <c r="G77" s="114" t="s">
        <v>350</v>
      </c>
      <c r="H77" s="109" t="str">
        <f t="shared" si="2"/>
        <v>ок</v>
      </c>
      <c r="I77" s="88"/>
      <c r="J77" s="88"/>
      <c r="M77" s="88"/>
    </row>
    <row r="78">
      <c r="A78" s="104" t="s">
        <v>346</v>
      </c>
      <c r="B78" s="111" t="s">
        <v>351</v>
      </c>
      <c r="C78" s="111" t="s">
        <v>348</v>
      </c>
      <c r="D78" s="112">
        <v>10000.0</v>
      </c>
      <c r="E78" s="113">
        <v>46009.0</v>
      </c>
      <c r="F78" s="111" t="s">
        <v>352</v>
      </c>
      <c r="G78" s="114" t="s">
        <v>353</v>
      </c>
      <c r="H78" s="109" t="str">
        <f t="shared" si="2"/>
        <v>ок</v>
      </c>
      <c r="I78" s="88"/>
      <c r="J78" s="88"/>
      <c r="M78" s="88"/>
    </row>
    <row r="79">
      <c r="A79" s="104" t="s">
        <v>354</v>
      </c>
      <c r="B79" s="111" t="s">
        <v>355</v>
      </c>
      <c r="C79" s="111" t="s">
        <v>356</v>
      </c>
      <c r="D79" s="112">
        <v>100000.0</v>
      </c>
      <c r="E79" s="113">
        <v>46009.0</v>
      </c>
      <c r="F79" s="111" t="s">
        <v>357</v>
      </c>
      <c r="G79" s="114" t="s">
        <v>358</v>
      </c>
      <c r="H79" s="109" t="str">
        <f t="shared" si="2"/>
        <v>ок</v>
      </c>
      <c r="I79" s="88"/>
      <c r="J79" s="88"/>
      <c r="M79" s="88"/>
    </row>
    <row r="80">
      <c r="A80" s="104" t="s">
        <v>354</v>
      </c>
      <c r="B80" s="111" t="s">
        <v>360</v>
      </c>
      <c r="C80" s="111" t="s">
        <v>356</v>
      </c>
      <c r="D80" s="112">
        <v>100000.0</v>
      </c>
      <c r="E80" s="113">
        <v>46100.0</v>
      </c>
      <c r="F80" s="111" t="s">
        <v>361</v>
      </c>
      <c r="G80" s="114" t="s">
        <v>362</v>
      </c>
      <c r="H80" s="109" t="str">
        <f t="shared" si="2"/>
        <v>ок</v>
      </c>
      <c r="I80" s="88"/>
      <c r="J80" s="88"/>
      <c r="M80" s="88"/>
    </row>
    <row r="81">
      <c r="A81" s="104" t="s">
        <v>364</v>
      </c>
      <c r="B81" s="111" t="s">
        <v>216</v>
      </c>
      <c r="C81" s="111" t="s">
        <v>365</v>
      </c>
      <c r="D81" s="112">
        <v>1000.0</v>
      </c>
      <c r="E81" s="113">
        <v>46191.0</v>
      </c>
      <c r="F81" s="111" t="s">
        <v>366</v>
      </c>
      <c r="G81" s="114" t="s">
        <v>367</v>
      </c>
      <c r="H81" s="109" t="str">
        <f t="shared" si="2"/>
        <v>ок</v>
      </c>
      <c r="I81" s="88"/>
      <c r="J81" s="88"/>
      <c r="M81" s="88"/>
    </row>
    <row r="82">
      <c r="A82" s="104" t="s">
        <v>364</v>
      </c>
      <c r="B82" s="111" t="s">
        <v>208</v>
      </c>
      <c r="C82" s="111" t="s">
        <v>365</v>
      </c>
      <c r="D82" s="112">
        <v>1000.0</v>
      </c>
      <c r="E82" s="113">
        <v>46009.0</v>
      </c>
      <c r="F82" s="111" t="s">
        <v>368</v>
      </c>
      <c r="G82" s="114" t="s">
        <v>369</v>
      </c>
      <c r="H82" s="109" t="str">
        <f t="shared" si="2"/>
        <v>ок</v>
      </c>
      <c r="I82" s="88"/>
      <c r="J82" s="88"/>
      <c r="M82" s="88"/>
    </row>
    <row r="83">
      <c r="A83" s="104" t="s">
        <v>364</v>
      </c>
      <c r="B83" s="111" t="s">
        <v>220</v>
      </c>
      <c r="C83" s="111" t="s">
        <v>365</v>
      </c>
      <c r="D83" s="112">
        <v>1000.0</v>
      </c>
      <c r="E83" s="113">
        <v>46282.0</v>
      </c>
      <c r="F83" s="111" t="s">
        <v>370</v>
      </c>
      <c r="G83" s="114" t="s">
        <v>371</v>
      </c>
      <c r="H83" s="109" t="str">
        <f t="shared" si="2"/>
        <v>ок</v>
      </c>
      <c r="I83" s="88"/>
      <c r="J83" s="88"/>
      <c r="M83" s="88"/>
    </row>
    <row r="84">
      <c r="A84" s="104" t="s">
        <v>364</v>
      </c>
      <c r="B84" s="111" t="s">
        <v>212</v>
      </c>
      <c r="C84" s="111" t="s">
        <v>365</v>
      </c>
      <c r="D84" s="112">
        <v>1000.0</v>
      </c>
      <c r="E84" s="113">
        <v>46100.0</v>
      </c>
      <c r="F84" s="111" t="s">
        <v>373</v>
      </c>
      <c r="G84" s="114" t="s">
        <v>374</v>
      </c>
      <c r="H84" s="109" t="str">
        <f t="shared" si="2"/>
        <v>ок</v>
      </c>
      <c r="I84" s="88"/>
      <c r="J84" s="88"/>
      <c r="M84" s="88"/>
    </row>
    <row r="85">
      <c r="A85" s="104" t="s">
        <v>375</v>
      </c>
      <c r="B85" s="111" t="s">
        <v>376</v>
      </c>
      <c r="C85" s="111" t="s">
        <v>377</v>
      </c>
      <c r="D85" s="112">
        <v>1000.0</v>
      </c>
      <c r="E85" s="113">
        <v>46009.0</v>
      </c>
      <c r="F85" s="111" t="s">
        <v>378</v>
      </c>
      <c r="G85" s="114" t="s">
        <v>379</v>
      </c>
      <c r="H85" s="109" t="str">
        <f t="shared" si="2"/>
        <v>ок</v>
      </c>
      <c r="I85" s="88"/>
      <c r="J85" s="88"/>
      <c r="M85" s="88"/>
    </row>
    <row r="86">
      <c r="A86" s="104" t="s">
        <v>375</v>
      </c>
      <c r="B86" s="111" t="s">
        <v>380</v>
      </c>
      <c r="C86" s="111" t="s">
        <v>377</v>
      </c>
      <c r="D86" s="112">
        <v>1000.0</v>
      </c>
      <c r="E86" s="113">
        <v>46100.0</v>
      </c>
      <c r="F86" s="111" t="s">
        <v>381</v>
      </c>
      <c r="G86" s="114" t="s">
        <v>382</v>
      </c>
      <c r="H86" s="109" t="str">
        <f t="shared" si="2"/>
        <v>ок</v>
      </c>
      <c r="I86" s="88"/>
      <c r="J86" s="88"/>
      <c r="M86" s="88"/>
    </row>
    <row r="87">
      <c r="A87" s="104" t="s">
        <v>383</v>
      </c>
      <c r="B87" s="111" t="s">
        <v>227</v>
      </c>
      <c r="C87" s="111" t="s">
        <v>384</v>
      </c>
      <c r="D87" s="112">
        <v>10.0</v>
      </c>
      <c r="E87" s="113">
        <v>46007.0</v>
      </c>
      <c r="F87" s="111" t="s">
        <v>385</v>
      </c>
      <c r="G87" s="114" t="s">
        <v>386</v>
      </c>
      <c r="H87" s="109" t="str">
        <f t="shared" si="2"/>
        <v>ок</v>
      </c>
      <c r="I87" s="88"/>
      <c r="J87" s="88"/>
      <c r="M87" s="88"/>
    </row>
    <row r="88">
      <c r="A88" s="104" t="s">
        <v>387</v>
      </c>
      <c r="B88" s="111" t="s">
        <v>191</v>
      </c>
      <c r="C88" s="111" t="s">
        <v>388</v>
      </c>
      <c r="D88" s="112">
        <v>1.0</v>
      </c>
      <c r="E88" s="113">
        <v>45964.0</v>
      </c>
      <c r="F88" s="111" t="s">
        <v>389</v>
      </c>
      <c r="G88" s="114" t="s">
        <v>390</v>
      </c>
      <c r="H88" s="109" t="str">
        <f t="shared" si="2"/>
        <v>ок</v>
      </c>
      <c r="I88" s="88"/>
      <c r="J88" s="88"/>
      <c r="M88" s="88"/>
    </row>
    <row r="89">
      <c r="A89" s="104" t="s">
        <v>387</v>
      </c>
      <c r="B89" s="111" t="s">
        <v>179</v>
      </c>
      <c r="C89" s="111" t="s">
        <v>391</v>
      </c>
      <c r="D89" s="112">
        <v>10.0</v>
      </c>
      <c r="E89" s="113">
        <v>46083.0</v>
      </c>
      <c r="F89" s="111" t="s">
        <v>392</v>
      </c>
      <c r="G89" s="114" t="s">
        <v>393</v>
      </c>
      <c r="H89" s="109" t="str">
        <f t="shared" si="2"/>
        <v>ок</v>
      </c>
      <c r="I89" s="88"/>
      <c r="J89" s="88"/>
      <c r="M89" s="88"/>
    </row>
    <row r="90">
      <c r="A90" s="104" t="s">
        <v>387</v>
      </c>
      <c r="B90" s="111" t="s">
        <v>173</v>
      </c>
      <c r="C90" s="111" t="s">
        <v>391</v>
      </c>
      <c r="D90" s="112">
        <v>10.0</v>
      </c>
      <c r="E90" s="113">
        <v>46055.0</v>
      </c>
      <c r="F90" s="111" t="s">
        <v>394</v>
      </c>
      <c r="G90" s="114" t="s">
        <v>395</v>
      </c>
      <c r="H90" s="109" t="str">
        <f t="shared" si="2"/>
        <v>ок</v>
      </c>
      <c r="I90" s="88"/>
      <c r="J90" s="88"/>
      <c r="M90" s="88"/>
    </row>
    <row r="91">
      <c r="A91" s="104" t="s">
        <v>387</v>
      </c>
      <c r="B91" s="111" t="s">
        <v>158</v>
      </c>
      <c r="C91" s="111" t="s">
        <v>391</v>
      </c>
      <c r="D91" s="112">
        <v>10.0</v>
      </c>
      <c r="E91" s="113">
        <v>46027.0</v>
      </c>
      <c r="F91" s="111" t="s">
        <v>397</v>
      </c>
      <c r="G91" s="114" t="s">
        <v>398</v>
      </c>
      <c r="H91" s="109" t="str">
        <f t="shared" si="2"/>
        <v>ок</v>
      </c>
      <c r="I91" s="88"/>
      <c r="J91" s="88"/>
      <c r="M91" s="88"/>
    </row>
    <row r="92">
      <c r="A92" s="104" t="s">
        <v>387</v>
      </c>
      <c r="B92" s="111" t="s">
        <v>185</v>
      </c>
      <c r="C92" s="111" t="s">
        <v>391</v>
      </c>
      <c r="D92" s="112">
        <v>10.0</v>
      </c>
      <c r="E92" s="113">
        <v>46113.0</v>
      </c>
      <c r="F92" s="111" t="s">
        <v>399</v>
      </c>
      <c r="G92" s="114" t="s">
        <v>400</v>
      </c>
      <c r="H92" s="109" t="str">
        <f t="shared" si="2"/>
        <v>ок</v>
      </c>
      <c r="I92" s="88"/>
      <c r="J92" s="88"/>
      <c r="M92" s="88"/>
    </row>
    <row r="93">
      <c r="A93" s="104" t="s">
        <v>387</v>
      </c>
      <c r="B93" s="111" t="s">
        <v>167</v>
      </c>
      <c r="C93" s="111" t="s">
        <v>391</v>
      </c>
      <c r="D93" s="112">
        <v>10.0</v>
      </c>
      <c r="E93" s="113">
        <v>45992.0</v>
      </c>
      <c r="F93" s="111" t="s">
        <v>402</v>
      </c>
      <c r="G93" s="114" t="s">
        <v>403</v>
      </c>
      <c r="H93" s="109" t="str">
        <f t="shared" si="2"/>
        <v>ок</v>
      </c>
      <c r="I93" s="88"/>
      <c r="J93" s="88"/>
      <c r="M93" s="88"/>
    </row>
    <row r="94">
      <c r="A94" s="104" t="s">
        <v>404</v>
      </c>
      <c r="B94" s="111" t="s">
        <v>16</v>
      </c>
      <c r="C94" s="111" t="s">
        <v>405</v>
      </c>
      <c r="D94" s="112">
        <v>100.0</v>
      </c>
      <c r="E94" s="113">
        <v>46010.0</v>
      </c>
      <c r="F94" s="111" t="s">
        <v>406</v>
      </c>
      <c r="G94" s="114" t="s">
        <v>407</v>
      </c>
      <c r="H94" s="109" t="str">
        <f t="shared" si="2"/>
        <v>ок</v>
      </c>
      <c r="I94" s="88"/>
      <c r="J94" s="88"/>
      <c r="M94" s="88"/>
    </row>
    <row r="95">
      <c r="A95" s="104" t="s">
        <v>409</v>
      </c>
      <c r="B95" s="111" t="s">
        <v>41</v>
      </c>
      <c r="C95" s="111" t="s">
        <v>410</v>
      </c>
      <c r="D95" s="112">
        <v>100.0</v>
      </c>
      <c r="E95" s="113">
        <v>46010.0</v>
      </c>
      <c r="F95" s="111" t="s">
        <v>411</v>
      </c>
      <c r="G95" s="114" t="s">
        <v>412</v>
      </c>
      <c r="H95" s="109" t="str">
        <f t="shared" si="2"/>
        <v>ок</v>
      </c>
      <c r="I95" s="88"/>
      <c r="J95" s="88"/>
      <c r="M95" s="88"/>
    </row>
    <row r="96">
      <c r="A96" s="119" t="s">
        <v>413</v>
      </c>
      <c r="B96" s="111" t="s">
        <v>414</v>
      </c>
      <c r="C96" s="111" t="s">
        <v>415</v>
      </c>
      <c r="D96" s="112">
        <v>1.0</v>
      </c>
      <c r="E96" s="113">
        <v>45919.0</v>
      </c>
      <c r="F96" s="111" t="s">
        <v>416</v>
      </c>
      <c r="G96" s="114" t="s">
        <v>417</v>
      </c>
      <c r="H96" s="109" t="str">
        <f t="shared" si="2"/>
        <v>удалить</v>
      </c>
      <c r="I96" s="88"/>
      <c r="J96" s="88"/>
      <c r="M96" s="88"/>
    </row>
    <row r="97">
      <c r="A97" s="119" t="s">
        <v>413</v>
      </c>
      <c r="B97" s="111" t="s">
        <v>418</v>
      </c>
      <c r="C97" s="111" t="s">
        <v>415</v>
      </c>
      <c r="D97" s="112">
        <v>1.0</v>
      </c>
      <c r="E97" s="113">
        <v>45828.0</v>
      </c>
      <c r="F97" s="111" t="s">
        <v>419</v>
      </c>
      <c r="G97" s="114" t="s">
        <v>420</v>
      </c>
      <c r="H97" s="109" t="str">
        <f t="shared" si="2"/>
        <v>удалить</v>
      </c>
      <c r="I97" s="88"/>
      <c r="J97" s="88"/>
      <c r="M97" s="88"/>
    </row>
    <row r="98">
      <c r="A98" s="104" t="s">
        <v>421</v>
      </c>
      <c r="B98" s="111" t="s">
        <v>40</v>
      </c>
      <c r="C98" s="111" t="s">
        <v>422</v>
      </c>
      <c r="D98" s="112">
        <v>10.0</v>
      </c>
      <c r="E98" s="113">
        <v>46010.0</v>
      </c>
      <c r="F98" s="111" t="s">
        <v>423</v>
      </c>
      <c r="G98" s="114" t="s">
        <v>424</v>
      </c>
      <c r="H98" s="109" t="str">
        <f t="shared" si="2"/>
        <v>ок</v>
      </c>
      <c r="I98" s="88"/>
      <c r="J98" s="88"/>
      <c r="M98" s="88"/>
    </row>
    <row r="99">
      <c r="A99" s="104" t="s">
        <v>425</v>
      </c>
      <c r="B99" s="111" t="s">
        <v>426</v>
      </c>
      <c r="C99" s="111" t="s">
        <v>427</v>
      </c>
      <c r="D99" s="112">
        <v>100.0</v>
      </c>
      <c r="E99" s="113">
        <v>46010.0</v>
      </c>
      <c r="F99" s="111" t="s">
        <v>428</v>
      </c>
      <c r="G99" s="114" t="s">
        <v>429</v>
      </c>
      <c r="H99" s="109" t="str">
        <f t="shared" si="2"/>
        <v>ок</v>
      </c>
      <c r="I99" s="88"/>
      <c r="J99" s="88"/>
      <c r="M99" s="88"/>
    </row>
    <row r="100">
      <c r="A100" s="104" t="s">
        <v>430</v>
      </c>
      <c r="B100" s="111" t="s">
        <v>15</v>
      </c>
      <c r="C100" s="111" t="s">
        <v>431</v>
      </c>
      <c r="D100" s="112">
        <v>100.0</v>
      </c>
      <c r="E100" s="113">
        <v>46010.0</v>
      </c>
      <c r="F100" s="111" t="s">
        <v>432</v>
      </c>
      <c r="G100" s="114" t="s">
        <v>433</v>
      </c>
      <c r="H100" s="109" t="str">
        <f t="shared" si="2"/>
        <v>ок</v>
      </c>
      <c r="I100" s="88"/>
      <c r="J100" s="88"/>
      <c r="M100" s="88"/>
    </row>
    <row r="101">
      <c r="A101" s="104" t="s">
        <v>434</v>
      </c>
      <c r="B101" s="111" t="s">
        <v>435</v>
      </c>
      <c r="C101" s="111" t="s">
        <v>436</v>
      </c>
      <c r="D101" s="112">
        <v>10.0</v>
      </c>
      <c r="E101" s="113">
        <v>46010.0</v>
      </c>
      <c r="F101" s="111" t="s">
        <v>437</v>
      </c>
      <c r="G101" s="114" t="s">
        <v>438</v>
      </c>
      <c r="H101" s="109" t="str">
        <f t="shared" si="2"/>
        <v>ок</v>
      </c>
      <c r="I101" s="88"/>
      <c r="J101" s="88"/>
      <c r="M101" s="88"/>
    </row>
    <row r="102">
      <c r="A102" s="119" t="s">
        <v>434</v>
      </c>
      <c r="B102" s="111" t="s">
        <v>439</v>
      </c>
      <c r="C102" s="111" t="s">
        <v>436</v>
      </c>
      <c r="D102" s="112">
        <v>10.0</v>
      </c>
      <c r="E102" s="113">
        <v>45828.0</v>
      </c>
      <c r="F102" s="111" t="s">
        <v>440</v>
      </c>
      <c r="G102" s="114" t="s">
        <v>441</v>
      </c>
      <c r="H102" s="109" t="str">
        <f t="shared" si="2"/>
        <v>удалить</v>
      </c>
      <c r="I102" s="88"/>
      <c r="J102" s="88"/>
      <c r="M102" s="88"/>
    </row>
    <row r="103">
      <c r="A103" s="104" t="s">
        <v>442</v>
      </c>
      <c r="B103" s="111" t="s">
        <v>443</v>
      </c>
      <c r="C103" s="111" t="s">
        <v>444</v>
      </c>
      <c r="D103" s="112">
        <v>1.0</v>
      </c>
      <c r="E103" s="113">
        <v>46010.0</v>
      </c>
      <c r="F103" s="111" t="s">
        <v>445</v>
      </c>
      <c r="G103" s="114" t="s">
        <v>446</v>
      </c>
      <c r="H103" s="109" t="str">
        <f t="shared" si="2"/>
        <v>ок</v>
      </c>
      <c r="I103" s="88"/>
      <c r="J103" s="88"/>
      <c r="M103" s="88"/>
    </row>
    <row r="104">
      <c r="A104" s="104" t="s">
        <v>448</v>
      </c>
      <c r="B104" s="111" t="s">
        <v>273</v>
      </c>
      <c r="C104" s="111" t="s">
        <v>449</v>
      </c>
      <c r="D104" s="112">
        <v>100.0</v>
      </c>
      <c r="E104" s="113">
        <v>46010.0</v>
      </c>
      <c r="F104" s="111" t="s">
        <v>450</v>
      </c>
      <c r="G104" s="114" t="s">
        <v>451</v>
      </c>
      <c r="H104" s="109" t="str">
        <f t="shared" si="2"/>
        <v>ок</v>
      </c>
      <c r="I104" s="88"/>
      <c r="J104" s="88"/>
      <c r="M104" s="88"/>
    </row>
    <row r="105">
      <c r="A105" s="104" t="s">
        <v>453</v>
      </c>
      <c r="B105" s="111" t="s">
        <v>363</v>
      </c>
      <c r="C105" s="111" t="s">
        <v>454</v>
      </c>
      <c r="D105" s="112">
        <v>10.0</v>
      </c>
      <c r="E105" s="113">
        <v>46010.0</v>
      </c>
      <c r="F105" s="111" t="s">
        <v>455</v>
      </c>
      <c r="G105" s="114" t="s">
        <v>456</v>
      </c>
      <c r="H105" s="109" t="str">
        <f t="shared" si="2"/>
        <v>ок</v>
      </c>
      <c r="I105" s="88"/>
      <c r="J105" s="88"/>
      <c r="M105" s="88"/>
    </row>
    <row r="106">
      <c r="A106" s="104" t="s">
        <v>458</v>
      </c>
      <c r="B106" s="111" t="s">
        <v>372</v>
      </c>
      <c r="C106" s="111" t="s">
        <v>459</v>
      </c>
      <c r="D106" s="112">
        <v>1.0</v>
      </c>
      <c r="E106" s="113">
        <v>46010.0</v>
      </c>
      <c r="F106" s="111" t="s">
        <v>460</v>
      </c>
      <c r="G106" s="114" t="s">
        <v>461</v>
      </c>
      <c r="H106" s="109" t="str">
        <f t="shared" si="2"/>
        <v>ок</v>
      </c>
      <c r="I106" s="88"/>
      <c r="J106" s="88"/>
      <c r="M106" s="88"/>
    </row>
    <row r="107">
      <c r="A107" s="104" t="s">
        <v>462</v>
      </c>
      <c r="B107" s="111" t="s">
        <v>201</v>
      </c>
      <c r="C107" s="111" t="s">
        <v>463</v>
      </c>
      <c r="D107" s="112">
        <v>1000.0</v>
      </c>
      <c r="E107" s="113">
        <v>46010.0</v>
      </c>
      <c r="F107" s="111" t="s">
        <v>464</v>
      </c>
      <c r="G107" s="114" t="s">
        <v>465</v>
      </c>
      <c r="H107" s="109" t="str">
        <f t="shared" si="2"/>
        <v>ок</v>
      </c>
      <c r="I107" s="88"/>
      <c r="J107" s="88"/>
      <c r="M107" s="88"/>
    </row>
    <row r="108">
      <c r="A108" s="104" t="s">
        <v>466</v>
      </c>
      <c r="B108" s="111" t="s">
        <v>18</v>
      </c>
      <c r="C108" s="121" t="s">
        <v>467</v>
      </c>
      <c r="D108" s="112">
        <v>1.0</v>
      </c>
      <c r="E108" s="113">
        <v>46010.0</v>
      </c>
      <c r="F108" s="111" t="s">
        <v>468</v>
      </c>
      <c r="G108" s="114" t="s">
        <v>469</v>
      </c>
      <c r="H108" s="109" t="str">
        <f t="shared" si="2"/>
        <v>ок</v>
      </c>
      <c r="I108" s="88"/>
      <c r="J108" s="88"/>
      <c r="M108" s="88"/>
    </row>
    <row r="109">
      <c r="A109" s="104" t="s">
        <v>470</v>
      </c>
      <c r="B109" s="111" t="s">
        <v>471</v>
      </c>
      <c r="C109" s="111" t="s">
        <v>472</v>
      </c>
      <c r="D109" s="112">
        <v>10.0</v>
      </c>
      <c r="E109" s="113">
        <v>46010.0</v>
      </c>
      <c r="F109" s="111" t="s">
        <v>473</v>
      </c>
      <c r="G109" s="114" t="s">
        <v>474</v>
      </c>
      <c r="H109" s="109" t="str">
        <f t="shared" si="2"/>
        <v>ок</v>
      </c>
      <c r="I109" s="88"/>
      <c r="J109" s="88"/>
      <c r="M109" s="88"/>
    </row>
    <row r="110">
      <c r="A110" s="104" t="s">
        <v>475</v>
      </c>
      <c r="B110" s="111" t="s">
        <v>476</v>
      </c>
      <c r="C110" s="111" t="s">
        <v>477</v>
      </c>
      <c r="D110" s="112">
        <v>1000.0</v>
      </c>
      <c r="E110" s="113">
        <v>46010.0</v>
      </c>
      <c r="F110" s="111" t="s">
        <v>478</v>
      </c>
      <c r="G110" s="114" t="s">
        <v>479</v>
      </c>
      <c r="H110" s="109" t="str">
        <f t="shared" si="2"/>
        <v>ок</v>
      </c>
      <c r="I110" s="88"/>
      <c r="J110" s="88"/>
      <c r="M110" s="88"/>
    </row>
    <row r="111">
      <c r="A111" s="104" t="s">
        <v>481</v>
      </c>
      <c r="B111" s="111" t="s">
        <v>482</v>
      </c>
      <c r="C111" s="111" t="s">
        <v>483</v>
      </c>
      <c r="D111" s="112">
        <v>100.0</v>
      </c>
      <c r="E111" s="113">
        <v>46010.0</v>
      </c>
      <c r="F111" s="111" t="s">
        <v>484</v>
      </c>
      <c r="G111" s="114" t="s">
        <v>485</v>
      </c>
      <c r="H111" s="109" t="str">
        <f t="shared" si="2"/>
        <v>ок</v>
      </c>
      <c r="I111" s="88"/>
      <c r="J111" s="88"/>
      <c r="M111" s="88"/>
    </row>
    <row r="112">
      <c r="A112" s="104" t="s">
        <v>487</v>
      </c>
      <c r="B112" s="111" t="s">
        <v>278</v>
      </c>
      <c r="C112" s="111" t="s">
        <v>488</v>
      </c>
      <c r="D112" s="112">
        <v>100.0</v>
      </c>
      <c r="E112" s="113">
        <v>46010.0</v>
      </c>
      <c r="F112" s="111" t="s">
        <v>489</v>
      </c>
      <c r="G112" s="114" t="s">
        <v>490</v>
      </c>
      <c r="H112" s="109" t="str">
        <f t="shared" si="2"/>
        <v>ок</v>
      </c>
      <c r="I112" s="88"/>
      <c r="J112" s="88"/>
      <c r="M112" s="88"/>
    </row>
    <row r="113">
      <c r="A113" s="104" t="s">
        <v>492</v>
      </c>
      <c r="B113" s="111" t="s">
        <v>493</v>
      </c>
      <c r="C113" s="111" t="s">
        <v>494</v>
      </c>
      <c r="D113" s="112">
        <v>10.0</v>
      </c>
      <c r="E113" s="113">
        <v>46010.0</v>
      </c>
      <c r="F113" s="111" t="s">
        <v>495</v>
      </c>
      <c r="G113" s="114" t="s">
        <v>496</v>
      </c>
      <c r="H113" s="109" t="str">
        <f t="shared" si="2"/>
        <v>ок</v>
      </c>
      <c r="I113" s="88"/>
      <c r="J113" s="88"/>
      <c r="M113" s="88"/>
    </row>
    <row r="114">
      <c r="A114" s="104" t="s">
        <v>497</v>
      </c>
      <c r="B114" s="111" t="s">
        <v>36</v>
      </c>
      <c r="C114" s="111" t="s">
        <v>498</v>
      </c>
      <c r="D114" s="112">
        <v>10.0</v>
      </c>
      <c r="E114" s="113">
        <v>46010.0</v>
      </c>
      <c r="F114" s="111" t="s">
        <v>499</v>
      </c>
      <c r="G114" s="114" t="s">
        <v>500</v>
      </c>
      <c r="H114" s="109" t="str">
        <f t="shared" si="2"/>
        <v>ок</v>
      </c>
      <c r="I114" s="88"/>
      <c r="J114" s="88"/>
      <c r="M114" s="88"/>
    </row>
    <row r="115">
      <c r="A115" s="104" t="s">
        <v>501</v>
      </c>
      <c r="B115" s="111" t="s">
        <v>30</v>
      </c>
      <c r="C115" s="111" t="s">
        <v>502</v>
      </c>
      <c r="D115" s="112">
        <v>1.0</v>
      </c>
      <c r="E115" s="113">
        <v>46010.0</v>
      </c>
      <c r="F115" s="111" t="s">
        <v>503</v>
      </c>
      <c r="G115" s="114" t="s">
        <v>504</v>
      </c>
      <c r="H115" s="109" t="str">
        <f t="shared" si="2"/>
        <v>ок</v>
      </c>
      <c r="I115" s="88"/>
      <c r="J115" s="88"/>
      <c r="M115" s="88"/>
    </row>
    <row r="116">
      <c r="A116" s="104" t="s">
        <v>505</v>
      </c>
      <c r="B116" s="111" t="s">
        <v>506</v>
      </c>
      <c r="C116" s="111" t="s">
        <v>507</v>
      </c>
      <c r="D116" s="112">
        <v>1.0</v>
      </c>
      <c r="E116" s="113">
        <v>46010.0</v>
      </c>
      <c r="F116" s="111" t="s">
        <v>508</v>
      </c>
      <c r="G116" s="114" t="s">
        <v>509</v>
      </c>
      <c r="H116" s="109" t="str">
        <f t="shared" si="2"/>
        <v>ок</v>
      </c>
      <c r="I116" s="88"/>
      <c r="J116" s="88"/>
      <c r="M116" s="88"/>
    </row>
    <row r="117">
      <c r="A117" s="104" t="s">
        <v>510</v>
      </c>
      <c r="B117" s="111" t="s">
        <v>105</v>
      </c>
      <c r="C117" s="111" t="s">
        <v>511</v>
      </c>
      <c r="D117" s="112">
        <v>1000.0</v>
      </c>
      <c r="E117" s="113">
        <v>46010.0</v>
      </c>
      <c r="F117" s="111" t="s">
        <v>512</v>
      </c>
      <c r="G117" s="114" t="s">
        <v>513</v>
      </c>
      <c r="H117" s="109" t="str">
        <f t="shared" si="2"/>
        <v>ок</v>
      </c>
      <c r="I117" s="88"/>
      <c r="J117" s="88"/>
      <c r="M117" s="88"/>
    </row>
    <row r="118">
      <c r="A118" s="104" t="s">
        <v>515</v>
      </c>
      <c r="B118" s="111" t="s">
        <v>19</v>
      </c>
      <c r="C118" s="111" t="s">
        <v>516</v>
      </c>
      <c r="D118" s="112">
        <v>10.0</v>
      </c>
      <c r="E118" s="113">
        <v>46010.0</v>
      </c>
      <c r="F118" s="111" t="s">
        <v>517</v>
      </c>
      <c r="G118" s="114" t="s">
        <v>518</v>
      </c>
      <c r="H118" s="109" t="str">
        <f t="shared" si="2"/>
        <v>ок</v>
      </c>
      <c r="I118" s="88"/>
      <c r="J118" s="88"/>
      <c r="M118" s="88"/>
    </row>
    <row r="119">
      <c r="A119" s="104" t="s">
        <v>519</v>
      </c>
      <c r="B119" s="111" t="s">
        <v>294</v>
      </c>
      <c r="C119" s="121" t="s">
        <v>520</v>
      </c>
      <c r="D119" s="112">
        <v>100.0</v>
      </c>
      <c r="E119" s="113">
        <v>46192.0</v>
      </c>
      <c r="F119" s="111" t="s">
        <v>521</v>
      </c>
      <c r="G119" s="114" t="s">
        <v>522</v>
      </c>
      <c r="H119" s="109" t="str">
        <f t="shared" si="2"/>
        <v>ок</v>
      </c>
      <c r="I119" s="88"/>
      <c r="J119" s="88"/>
      <c r="M119" s="88"/>
    </row>
    <row r="120">
      <c r="A120" s="104" t="s">
        <v>519</v>
      </c>
      <c r="B120" s="111" t="s">
        <v>22</v>
      </c>
      <c r="C120" s="121" t="s">
        <v>520</v>
      </c>
      <c r="D120" s="112">
        <v>100.0</v>
      </c>
      <c r="E120" s="113">
        <v>46010.0</v>
      </c>
      <c r="F120" s="111" t="s">
        <v>524</v>
      </c>
      <c r="G120" s="114" t="s">
        <v>525</v>
      </c>
      <c r="H120" s="109" t="str">
        <f t="shared" si="2"/>
        <v>ок</v>
      </c>
      <c r="I120" s="88"/>
      <c r="J120" s="88"/>
      <c r="M120" s="88"/>
    </row>
    <row r="121">
      <c r="A121" s="104" t="s">
        <v>527</v>
      </c>
      <c r="B121" s="111" t="s">
        <v>308</v>
      </c>
      <c r="C121" s="111" t="s">
        <v>528</v>
      </c>
      <c r="D121" s="112">
        <v>10.0</v>
      </c>
      <c r="E121" s="113">
        <v>46010.0</v>
      </c>
      <c r="F121" s="111" t="s">
        <v>529</v>
      </c>
      <c r="G121" s="114" t="s">
        <v>530</v>
      </c>
      <c r="H121" s="109" t="str">
        <f t="shared" si="2"/>
        <v>ок</v>
      </c>
      <c r="I121" s="88"/>
      <c r="J121" s="88"/>
      <c r="M121" s="88"/>
    </row>
    <row r="122">
      <c r="A122" s="104" t="s">
        <v>531</v>
      </c>
      <c r="B122" s="111" t="s">
        <v>532</v>
      </c>
      <c r="C122" s="111" t="s">
        <v>533</v>
      </c>
      <c r="D122" s="112">
        <v>1.0</v>
      </c>
      <c r="E122" s="113">
        <v>46010.0</v>
      </c>
      <c r="F122" s="111" t="s">
        <v>534</v>
      </c>
      <c r="G122" s="114" t="s">
        <v>535</v>
      </c>
      <c r="H122" s="109" t="str">
        <f t="shared" si="2"/>
        <v>ок</v>
      </c>
      <c r="I122" s="88"/>
      <c r="J122" s="88"/>
      <c r="M122" s="88"/>
    </row>
    <row r="123">
      <c r="A123" s="104" t="s">
        <v>536</v>
      </c>
      <c r="B123" s="111" t="s">
        <v>359</v>
      </c>
      <c r="C123" s="111" t="s">
        <v>537</v>
      </c>
      <c r="D123" s="112">
        <v>10000.0</v>
      </c>
      <c r="E123" s="113">
        <v>46010.0</v>
      </c>
      <c r="F123" s="111" t="s">
        <v>538</v>
      </c>
      <c r="G123" s="114" t="s">
        <v>539</v>
      </c>
      <c r="H123" s="109" t="str">
        <f t="shared" si="2"/>
        <v>ок</v>
      </c>
      <c r="I123" s="88"/>
      <c r="J123" s="88"/>
      <c r="M123" s="88"/>
    </row>
    <row r="124">
      <c r="A124" s="104" t="s">
        <v>540</v>
      </c>
      <c r="B124" s="111" t="s">
        <v>541</v>
      </c>
      <c r="C124" s="111" t="s">
        <v>542</v>
      </c>
      <c r="D124" s="112">
        <v>1.0</v>
      </c>
      <c r="E124" s="113">
        <v>46010.0</v>
      </c>
      <c r="F124" s="111" t="s">
        <v>543</v>
      </c>
      <c r="G124" s="114" t="s">
        <v>544</v>
      </c>
      <c r="H124" s="109" t="str">
        <f t="shared" si="2"/>
        <v>ок</v>
      </c>
      <c r="I124" s="88"/>
      <c r="J124" s="88"/>
      <c r="M124" s="88"/>
    </row>
    <row r="125">
      <c r="A125" s="104" t="s">
        <v>545</v>
      </c>
      <c r="B125" s="111" t="s">
        <v>25</v>
      </c>
      <c r="C125" s="111" t="s">
        <v>546</v>
      </c>
      <c r="D125" s="112">
        <v>1.0</v>
      </c>
      <c r="E125" s="113">
        <v>46010.0</v>
      </c>
      <c r="F125" s="111" t="s">
        <v>547</v>
      </c>
      <c r="G125" s="114" t="s">
        <v>548</v>
      </c>
      <c r="H125" s="109" t="str">
        <f t="shared" si="2"/>
        <v>ок</v>
      </c>
      <c r="I125" s="88"/>
      <c r="J125" s="88"/>
      <c r="M125" s="88"/>
    </row>
    <row r="126">
      <c r="A126" s="104" t="s">
        <v>549</v>
      </c>
      <c r="B126" s="111" t="s">
        <v>401</v>
      </c>
      <c r="C126" s="111" t="s">
        <v>550</v>
      </c>
      <c r="D126" s="112">
        <v>100.0</v>
      </c>
      <c r="E126" s="113">
        <v>46010.0</v>
      </c>
      <c r="F126" s="111" t="s">
        <v>551</v>
      </c>
      <c r="G126" s="114" t="s">
        <v>552</v>
      </c>
      <c r="H126" s="109" t="str">
        <f t="shared" si="2"/>
        <v>ок</v>
      </c>
      <c r="I126" s="88"/>
      <c r="J126" s="88"/>
      <c r="M126" s="88"/>
    </row>
    <row r="127">
      <c r="A127" s="104" t="s">
        <v>553</v>
      </c>
      <c r="B127" s="111" t="s">
        <v>27</v>
      </c>
      <c r="C127" s="121" t="s">
        <v>554</v>
      </c>
      <c r="D127" s="112">
        <v>100.0</v>
      </c>
      <c r="E127" s="113">
        <v>46010.0</v>
      </c>
      <c r="F127" s="111" t="s">
        <v>555</v>
      </c>
      <c r="G127" s="114" t="s">
        <v>556</v>
      </c>
      <c r="H127" s="109" t="str">
        <f t="shared" si="2"/>
        <v>ок</v>
      </c>
      <c r="I127" s="88"/>
      <c r="J127" s="88"/>
      <c r="M127" s="88"/>
    </row>
    <row r="128">
      <c r="A128" s="104" t="s">
        <v>557</v>
      </c>
      <c r="B128" s="111" t="s">
        <v>23</v>
      </c>
      <c r="C128" s="111" t="s">
        <v>558</v>
      </c>
      <c r="D128" s="112">
        <v>10.0</v>
      </c>
      <c r="E128" s="113">
        <v>46010.0</v>
      </c>
      <c r="F128" s="111" t="s">
        <v>559</v>
      </c>
      <c r="G128" s="114" t="s">
        <v>560</v>
      </c>
      <c r="H128" s="109" t="str">
        <f t="shared" si="2"/>
        <v>ок</v>
      </c>
      <c r="I128" s="88"/>
      <c r="J128" s="88"/>
      <c r="M128" s="88"/>
    </row>
    <row r="129">
      <c r="A129" s="104" t="s">
        <v>561</v>
      </c>
      <c r="B129" s="111" t="s">
        <v>526</v>
      </c>
      <c r="C129" s="111" t="s">
        <v>562</v>
      </c>
      <c r="D129" s="112">
        <v>100.0</v>
      </c>
      <c r="E129" s="113">
        <v>46192.0</v>
      </c>
      <c r="F129" s="111" t="s">
        <v>563</v>
      </c>
      <c r="G129" s="114" t="s">
        <v>564</v>
      </c>
      <c r="H129" s="109" t="str">
        <f t="shared" si="2"/>
        <v>ок</v>
      </c>
      <c r="I129" s="88"/>
      <c r="J129" s="88"/>
      <c r="M129" s="88"/>
    </row>
    <row r="130">
      <c r="A130" s="104" t="s">
        <v>561</v>
      </c>
      <c r="B130" s="111" t="s">
        <v>523</v>
      </c>
      <c r="C130" s="111" t="s">
        <v>562</v>
      </c>
      <c r="D130" s="112">
        <v>100.0</v>
      </c>
      <c r="E130" s="113">
        <v>46101.0</v>
      </c>
      <c r="F130" s="111" t="s">
        <v>565</v>
      </c>
      <c r="G130" s="114" t="s">
        <v>566</v>
      </c>
      <c r="H130" s="109" t="str">
        <f t="shared" si="2"/>
        <v>ок</v>
      </c>
      <c r="I130" s="88"/>
      <c r="J130" s="88"/>
      <c r="M130" s="88"/>
    </row>
    <row r="131">
      <c r="A131" s="104" t="s">
        <v>561</v>
      </c>
      <c r="B131" s="111" t="s">
        <v>31</v>
      </c>
      <c r="C131" s="111" t="s">
        <v>562</v>
      </c>
      <c r="D131" s="112">
        <v>100.0</v>
      </c>
      <c r="E131" s="113">
        <v>46010.0</v>
      </c>
      <c r="F131" s="111" t="s">
        <v>567</v>
      </c>
      <c r="G131" s="114" t="s">
        <v>568</v>
      </c>
      <c r="H131" s="109" t="str">
        <f t="shared" si="2"/>
        <v>ок</v>
      </c>
      <c r="I131" s="88"/>
      <c r="J131" s="88"/>
      <c r="M131" s="88"/>
    </row>
    <row r="132">
      <c r="A132" s="104" t="s">
        <v>570</v>
      </c>
      <c r="B132" s="111" t="s">
        <v>28</v>
      </c>
      <c r="C132" s="111" t="s">
        <v>571</v>
      </c>
      <c r="D132" s="112">
        <v>100.0</v>
      </c>
      <c r="E132" s="113">
        <v>46010.0</v>
      </c>
      <c r="F132" s="111" t="s">
        <v>572</v>
      </c>
      <c r="G132" s="114" t="s">
        <v>573</v>
      </c>
      <c r="H132" s="109" t="str">
        <f t="shared" si="2"/>
        <v>ок</v>
      </c>
      <c r="I132" s="88"/>
      <c r="J132" s="88"/>
      <c r="M132" s="88"/>
    </row>
    <row r="133">
      <c r="A133" s="104" t="s">
        <v>575</v>
      </c>
      <c r="B133" s="111" t="s">
        <v>29</v>
      </c>
      <c r="C133" s="122" t="s">
        <v>576</v>
      </c>
      <c r="D133" s="112">
        <v>100.0</v>
      </c>
      <c r="E133" s="113">
        <v>46010.0</v>
      </c>
      <c r="F133" s="111" t="s">
        <v>577</v>
      </c>
      <c r="G133" s="114" t="s">
        <v>578</v>
      </c>
      <c r="H133" s="109" t="str">
        <f t="shared" si="2"/>
        <v>ок</v>
      </c>
      <c r="I133" s="88"/>
      <c r="J133" s="88"/>
      <c r="M133" s="88"/>
    </row>
    <row r="134">
      <c r="A134" s="104" t="s">
        <v>580</v>
      </c>
      <c r="B134" s="111" t="s">
        <v>480</v>
      </c>
      <c r="C134" s="111" t="s">
        <v>581</v>
      </c>
      <c r="D134" s="112">
        <v>10.0</v>
      </c>
      <c r="E134" s="113">
        <v>46010.0</v>
      </c>
      <c r="F134" s="111" t="s">
        <v>582</v>
      </c>
      <c r="G134" s="114" t="s">
        <v>583</v>
      </c>
      <c r="H134" s="109" t="str">
        <f t="shared" si="2"/>
        <v>ок</v>
      </c>
      <c r="I134" s="88"/>
      <c r="J134" s="88"/>
      <c r="M134" s="88"/>
    </row>
    <row r="135">
      <c r="A135" s="104" t="s">
        <v>585</v>
      </c>
      <c r="B135" s="111" t="s">
        <v>32</v>
      </c>
      <c r="C135" s="111" t="s">
        <v>586</v>
      </c>
      <c r="D135" s="112">
        <v>100.0</v>
      </c>
      <c r="E135" s="113">
        <v>46010.0</v>
      </c>
      <c r="F135" s="111" t="s">
        <v>587</v>
      </c>
      <c r="G135" s="114" t="s">
        <v>588</v>
      </c>
      <c r="H135" s="109" t="str">
        <f t="shared" si="2"/>
        <v>ок</v>
      </c>
      <c r="I135" s="88"/>
      <c r="J135" s="88"/>
      <c r="M135" s="88"/>
    </row>
    <row r="136">
      <c r="A136" s="104" t="s">
        <v>590</v>
      </c>
      <c r="B136" s="111" t="s">
        <v>339</v>
      </c>
      <c r="C136" s="111" t="s">
        <v>591</v>
      </c>
      <c r="D136" s="112">
        <v>10000.0</v>
      </c>
      <c r="E136" s="113">
        <v>46010.0</v>
      </c>
      <c r="F136" s="111" t="s">
        <v>592</v>
      </c>
      <c r="G136" s="114" t="s">
        <v>593</v>
      </c>
      <c r="H136" s="109" t="str">
        <f t="shared" si="2"/>
        <v>ок</v>
      </c>
      <c r="I136" s="88"/>
      <c r="J136" s="88"/>
      <c r="M136" s="88"/>
    </row>
    <row r="137">
      <c r="A137" s="104" t="s">
        <v>595</v>
      </c>
      <c r="B137" s="111" t="s">
        <v>596</v>
      </c>
      <c r="C137" s="111" t="s">
        <v>597</v>
      </c>
      <c r="D137" s="112">
        <v>1000.0</v>
      </c>
      <c r="E137" s="113">
        <v>46010.0</v>
      </c>
      <c r="F137" s="111" t="s">
        <v>598</v>
      </c>
      <c r="G137" s="114" t="s">
        <v>599</v>
      </c>
      <c r="H137" s="109" t="str">
        <f t="shared" si="2"/>
        <v>ок</v>
      </c>
      <c r="I137" s="88"/>
      <c r="J137" s="88"/>
      <c r="M137" s="88"/>
    </row>
    <row r="138">
      <c r="A138" s="104" t="s">
        <v>601</v>
      </c>
      <c r="B138" s="111" t="s">
        <v>37</v>
      </c>
      <c r="C138" s="111" t="s">
        <v>602</v>
      </c>
      <c r="D138" s="112">
        <v>100.0</v>
      </c>
      <c r="E138" s="113">
        <v>46010.0</v>
      </c>
      <c r="F138" s="111" t="s">
        <v>603</v>
      </c>
      <c r="G138" s="114" t="s">
        <v>604</v>
      </c>
      <c r="H138" s="109" t="str">
        <f t="shared" si="2"/>
        <v>ок</v>
      </c>
      <c r="I138" s="88"/>
      <c r="J138" s="88"/>
      <c r="M138" s="88"/>
    </row>
    <row r="139">
      <c r="A139" s="104" t="s">
        <v>606</v>
      </c>
      <c r="B139" s="111" t="s">
        <v>21</v>
      </c>
      <c r="C139" s="111" t="s">
        <v>607</v>
      </c>
      <c r="D139" s="112">
        <v>100000.0</v>
      </c>
      <c r="E139" s="113">
        <v>46010.0</v>
      </c>
      <c r="F139" s="111" t="s">
        <v>608</v>
      </c>
      <c r="G139" s="114" t="s">
        <v>609</v>
      </c>
      <c r="H139" s="109" t="str">
        <f t="shared" si="2"/>
        <v>ок</v>
      </c>
      <c r="I139" s="88"/>
      <c r="J139" s="88"/>
      <c r="M139" s="88"/>
    </row>
    <row r="140">
      <c r="A140" s="104" t="s">
        <v>610</v>
      </c>
      <c r="B140" s="123" t="s">
        <v>148</v>
      </c>
      <c r="C140" s="123" t="s">
        <v>611</v>
      </c>
      <c r="D140" s="124">
        <v>1.0</v>
      </c>
      <c r="E140" s="125">
        <v>46101.0</v>
      </c>
      <c r="F140" s="123" t="s">
        <v>612</v>
      </c>
      <c r="G140" s="114" t="s">
        <v>613</v>
      </c>
      <c r="H140" s="126" t="str">
        <f t="shared" si="2"/>
        <v>ок</v>
      </c>
      <c r="I140" s="88"/>
      <c r="J140" s="88"/>
      <c r="M140" s="88"/>
    </row>
    <row r="141">
      <c r="A141" s="104" t="s">
        <v>610</v>
      </c>
      <c r="B141" s="111" t="s">
        <v>142</v>
      </c>
      <c r="C141" s="111" t="s">
        <v>611</v>
      </c>
      <c r="D141" s="112">
        <v>1.0</v>
      </c>
      <c r="E141" s="113">
        <v>46010.0</v>
      </c>
      <c r="F141" s="111" t="s">
        <v>615</v>
      </c>
      <c r="G141" s="114" t="s">
        <v>616</v>
      </c>
      <c r="H141" s="109" t="str">
        <f t="shared" si="2"/>
        <v>ок</v>
      </c>
      <c r="I141" s="88"/>
      <c r="J141" s="88"/>
      <c r="M141" s="88"/>
    </row>
    <row r="142">
      <c r="A142" s="104" t="s">
        <v>617</v>
      </c>
      <c r="B142" s="111" t="s">
        <v>136</v>
      </c>
      <c r="C142" s="111" t="s">
        <v>618</v>
      </c>
      <c r="D142" s="112">
        <v>1.0</v>
      </c>
      <c r="E142" s="113">
        <v>46010.0</v>
      </c>
      <c r="F142" s="111" t="s">
        <v>619</v>
      </c>
      <c r="G142" s="114" t="s">
        <v>620</v>
      </c>
      <c r="H142" s="109" t="str">
        <f t="shared" si="2"/>
        <v>ок</v>
      </c>
      <c r="I142" s="88"/>
      <c r="J142" s="88"/>
      <c r="M142" s="88"/>
    </row>
    <row r="143">
      <c r="A143" s="104" t="s">
        <v>621</v>
      </c>
      <c r="B143" s="111" t="s">
        <v>26</v>
      </c>
      <c r="C143" s="111" t="s">
        <v>622</v>
      </c>
      <c r="D143" s="112">
        <v>100.0</v>
      </c>
      <c r="E143" s="113">
        <v>46010.0</v>
      </c>
      <c r="F143" s="111" t="s">
        <v>623</v>
      </c>
      <c r="G143" s="114" t="s">
        <v>624</v>
      </c>
      <c r="H143" s="109" t="str">
        <f t="shared" si="2"/>
        <v>ок</v>
      </c>
      <c r="I143" s="88"/>
      <c r="J143" s="88"/>
      <c r="M143" s="88"/>
    </row>
    <row r="144">
      <c r="A144" s="104" t="s">
        <v>625</v>
      </c>
      <c r="B144" s="111" t="s">
        <v>514</v>
      </c>
      <c r="C144" s="111" t="s">
        <v>626</v>
      </c>
      <c r="D144" s="112">
        <v>10.0</v>
      </c>
      <c r="E144" s="113">
        <v>46010.0</v>
      </c>
      <c r="F144" s="111" t="s">
        <v>627</v>
      </c>
      <c r="G144" s="114" t="s">
        <v>628</v>
      </c>
      <c r="H144" s="109" t="str">
        <f t="shared" si="2"/>
        <v>ок</v>
      </c>
      <c r="I144" s="88"/>
      <c r="J144" s="88"/>
      <c r="M144" s="88"/>
    </row>
    <row r="145">
      <c r="A145" s="104" t="s">
        <v>629</v>
      </c>
      <c r="B145" s="111" t="s">
        <v>486</v>
      </c>
      <c r="C145" s="111" t="s">
        <v>630</v>
      </c>
      <c r="D145" s="112">
        <v>1.0</v>
      </c>
      <c r="E145" s="113">
        <v>46010.0</v>
      </c>
      <c r="F145" s="111" t="s">
        <v>631</v>
      </c>
      <c r="G145" s="114" t="s">
        <v>632</v>
      </c>
      <c r="H145" s="109" t="str">
        <f t="shared" si="2"/>
        <v>ок</v>
      </c>
      <c r="I145" s="88"/>
      <c r="J145" s="88"/>
      <c r="M145" s="88"/>
    </row>
    <row r="146">
      <c r="A146" s="104" t="s">
        <v>633</v>
      </c>
      <c r="B146" s="111" t="s">
        <v>491</v>
      </c>
      <c r="C146" s="111" t="s">
        <v>634</v>
      </c>
      <c r="D146" s="112">
        <v>1.0</v>
      </c>
      <c r="E146" s="113">
        <v>46010.0</v>
      </c>
      <c r="F146" s="111" t="s">
        <v>635</v>
      </c>
      <c r="G146" s="114" t="s">
        <v>636</v>
      </c>
      <c r="H146" s="109" t="str">
        <f t="shared" si="2"/>
        <v>ок</v>
      </c>
      <c r="I146" s="88"/>
      <c r="J146" s="88"/>
      <c r="M146" s="88"/>
    </row>
    <row r="147">
      <c r="A147" s="104" t="s">
        <v>637</v>
      </c>
      <c r="B147" s="111" t="s">
        <v>35</v>
      </c>
      <c r="C147" s="122" t="s">
        <v>638</v>
      </c>
      <c r="D147" s="112">
        <v>1000.0</v>
      </c>
      <c r="E147" s="113">
        <v>46010.0</v>
      </c>
      <c r="F147" s="111" t="s">
        <v>639</v>
      </c>
      <c r="G147" s="114" t="s">
        <v>640</v>
      </c>
      <c r="H147" s="109" t="str">
        <f t="shared" si="2"/>
        <v>ок</v>
      </c>
      <c r="I147" s="88"/>
      <c r="J147" s="88"/>
      <c r="M147" s="88"/>
    </row>
    <row r="148">
      <c r="A148" s="104" t="s">
        <v>641</v>
      </c>
      <c r="B148" s="111" t="s">
        <v>38</v>
      </c>
      <c r="C148" s="122" t="s">
        <v>642</v>
      </c>
      <c r="D148" s="112">
        <v>10.0</v>
      </c>
      <c r="E148" s="113">
        <v>46010.0</v>
      </c>
      <c r="F148" s="111" t="s">
        <v>643</v>
      </c>
      <c r="G148" s="114" t="s">
        <v>644</v>
      </c>
      <c r="H148" s="109" t="str">
        <f t="shared" si="2"/>
        <v>ок</v>
      </c>
      <c r="I148" s="88"/>
      <c r="J148" s="88"/>
      <c r="M148" s="88"/>
    </row>
    <row r="149">
      <c r="A149" s="104" t="s">
        <v>645</v>
      </c>
      <c r="B149" s="111" t="s">
        <v>614</v>
      </c>
      <c r="C149" s="122" t="s">
        <v>646</v>
      </c>
      <c r="D149" s="112">
        <v>100.0</v>
      </c>
      <c r="E149" s="113">
        <v>46010.0</v>
      </c>
      <c r="F149" s="111" t="s">
        <v>647</v>
      </c>
      <c r="G149" s="114" t="s">
        <v>648</v>
      </c>
      <c r="H149" s="109" t="str">
        <f t="shared" si="2"/>
        <v>ок</v>
      </c>
      <c r="I149" s="88"/>
      <c r="J149" s="88"/>
      <c r="M149" s="88"/>
    </row>
    <row r="150">
      <c r="A150" s="104" t="s">
        <v>649</v>
      </c>
      <c r="B150" s="111" t="s">
        <v>452</v>
      </c>
      <c r="C150" s="111" t="s">
        <v>650</v>
      </c>
      <c r="D150" s="112">
        <v>1.0</v>
      </c>
      <c r="E150" s="113">
        <v>45959.0</v>
      </c>
      <c r="F150" s="111" t="s">
        <v>651</v>
      </c>
      <c r="G150" s="114" t="s">
        <v>652</v>
      </c>
      <c r="H150" s="109" t="str">
        <f t="shared" si="2"/>
        <v>ок</v>
      </c>
      <c r="I150" s="88"/>
      <c r="J150" s="88"/>
      <c r="M150" s="88"/>
    </row>
    <row r="151">
      <c r="A151" s="104" t="s">
        <v>649</v>
      </c>
      <c r="B151" s="111" t="s">
        <v>447</v>
      </c>
      <c r="C151" s="111" t="s">
        <v>653</v>
      </c>
      <c r="D151" s="112">
        <v>100.0</v>
      </c>
      <c r="E151" s="113">
        <v>45959.0</v>
      </c>
      <c r="F151" s="111" t="s">
        <v>654</v>
      </c>
      <c r="G151" s="114" t="s">
        <v>655</v>
      </c>
      <c r="H151" s="109" t="str">
        <f t="shared" si="2"/>
        <v>ок</v>
      </c>
      <c r="I151" s="88"/>
      <c r="J151" s="88"/>
      <c r="M151" s="88"/>
    </row>
    <row r="152">
      <c r="A152" s="104" t="s">
        <v>657</v>
      </c>
      <c r="B152" s="111" t="s">
        <v>658</v>
      </c>
      <c r="C152" s="111" t="s">
        <v>659</v>
      </c>
      <c r="D152" s="112">
        <v>1.0</v>
      </c>
      <c r="E152" s="113">
        <v>46080.0</v>
      </c>
      <c r="F152" s="111" t="s">
        <v>660</v>
      </c>
      <c r="G152" s="114" t="s">
        <v>661</v>
      </c>
      <c r="H152" s="109" t="str">
        <f t="shared" si="2"/>
        <v>ок</v>
      </c>
      <c r="I152" s="88"/>
      <c r="J152" s="88"/>
      <c r="M152" s="88"/>
    </row>
    <row r="153">
      <c r="A153" s="104" t="s">
        <v>657</v>
      </c>
      <c r="B153" s="111" t="s">
        <v>663</v>
      </c>
      <c r="C153" s="111" t="s">
        <v>659</v>
      </c>
      <c r="D153" s="112">
        <v>1.0</v>
      </c>
      <c r="E153" s="113">
        <v>46142.0</v>
      </c>
      <c r="F153" s="111" t="s">
        <v>664</v>
      </c>
      <c r="G153" s="114" t="s">
        <v>665</v>
      </c>
      <c r="H153" s="109" t="str">
        <f t="shared" si="2"/>
        <v>ок</v>
      </c>
      <c r="I153" s="88"/>
      <c r="J153" s="88"/>
      <c r="M153" s="88"/>
    </row>
    <row r="154">
      <c r="A154" s="104" t="s">
        <v>657</v>
      </c>
      <c r="B154" s="111" t="s">
        <v>666</v>
      </c>
      <c r="C154" s="111" t="s">
        <v>659</v>
      </c>
      <c r="D154" s="112">
        <v>1.0</v>
      </c>
      <c r="E154" s="113">
        <v>46112.0</v>
      </c>
      <c r="F154" s="111" t="s">
        <v>667</v>
      </c>
      <c r="G154" s="114" t="s">
        <v>668</v>
      </c>
      <c r="H154" s="109" t="str">
        <f t="shared" si="2"/>
        <v>ок</v>
      </c>
      <c r="I154" s="88"/>
      <c r="J154" s="88"/>
      <c r="M154" s="88"/>
    </row>
    <row r="155">
      <c r="A155" s="104" t="s">
        <v>657</v>
      </c>
      <c r="B155" s="111" t="s">
        <v>669</v>
      </c>
      <c r="C155" s="111" t="s">
        <v>659</v>
      </c>
      <c r="D155" s="112">
        <v>1.0</v>
      </c>
      <c r="E155" s="113">
        <v>46021.0</v>
      </c>
      <c r="F155" s="111" t="s">
        <v>670</v>
      </c>
      <c r="G155" s="114" t="s">
        <v>671</v>
      </c>
      <c r="H155" s="109" t="str">
        <f t="shared" si="2"/>
        <v>ок</v>
      </c>
      <c r="I155" s="88"/>
      <c r="J155" s="88"/>
      <c r="M155" s="88"/>
    </row>
    <row r="156">
      <c r="A156" s="104" t="s">
        <v>657</v>
      </c>
      <c r="B156" s="111" t="s">
        <v>672</v>
      </c>
      <c r="C156" s="111" t="s">
        <v>659</v>
      </c>
      <c r="D156" s="112">
        <v>1.0</v>
      </c>
      <c r="E156" s="113">
        <v>45989.0</v>
      </c>
      <c r="F156" s="111" t="s">
        <v>673</v>
      </c>
      <c r="G156" s="114" t="s">
        <v>674</v>
      </c>
      <c r="H156" s="109" t="str">
        <f t="shared" si="2"/>
        <v>ок</v>
      </c>
      <c r="I156" s="88"/>
      <c r="J156" s="88"/>
      <c r="M156" s="88"/>
    </row>
    <row r="157">
      <c r="A157" s="104" t="s">
        <v>657</v>
      </c>
      <c r="B157" s="111" t="s">
        <v>675</v>
      </c>
      <c r="C157" s="111" t="s">
        <v>659</v>
      </c>
      <c r="D157" s="112">
        <v>1.0</v>
      </c>
      <c r="E157" s="113">
        <v>45961.0</v>
      </c>
      <c r="F157" s="111" t="s">
        <v>676</v>
      </c>
      <c r="G157" s="114" t="s">
        <v>677</v>
      </c>
      <c r="H157" s="109" t="str">
        <f t="shared" si="2"/>
        <v>ок</v>
      </c>
      <c r="I157" s="88"/>
      <c r="J157" s="88"/>
      <c r="M157" s="88"/>
    </row>
    <row r="158">
      <c r="A158" s="104" t="s">
        <v>657</v>
      </c>
      <c r="B158" s="111" t="s">
        <v>678</v>
      </c>
      <c r="C158" s="111" t="s">
        <v>659</v>
      </c>
      <c r="D158" s="112">
        <v>1.0</v>
      </c>
      <c r="E158" s="113">
        <v>46052.0</v>
      </c>
      <c r="F158" s="111" t="s">
        <v>679</v>
      </c>
      <c r="G158" s="114" t="s">
        <v>680</v>
      </c>
      <c r="H158" s="109" t="str">
        <f t="shared" si="2"/>
        <v>ок</v>
      </c>
      <c r="I158" s="88"/>
      <c r="J158" s="88"/>
      <c r="M158" s="88"/>
    </row>
    <row r="159">
      <c r="A159" s="104" t="s">
        <v>681</v>
      </c>
      <c r="B159" s="111" t="s">
        <v>662</v>
      </c>
      <c r="C159" s="111" t="s">
        <v>682</v>
      </c>
      <c r="D159" s="112">
        <v>10.0</v>
      </c>
      <c r="E159" s="113">
        <v>46101.0</v>
      </c>
      <c r="F159" s="111" t="s">
        <v>683</v>
      </c>
      <c r="G159" s="114" t="s">
        <v>684</v>
      </c>
      <c r="H159" s="109" t="str">
        <f t="shared" si="2"/>
        <v>ок</v>
      </c>
      <c r="I159" s="88"/>
      <c r="J159" s="88"/>
      <c r="M159" s="88"/>
    </row>
    <row r="160">
      <c r="A160" s="104" t="s">
        <v>681</v>
      </c>
      <c r="B160" s="111" t="s">
        <v>656</v>
      </c>
      <c r="C160" s="111" t="s">
        <v>682</v>
      </c>
      <c r="D160" s="112">
        <v>10.0</v>
      </c>
      <c r="E160" s="113">
        <v>46010.0</v>
      </c>
      <c r="F160" s="111" t="s">
        <v>685</v>
      </c>
      <c r="G160" s="114" t="s">
        <v>686</v>
      </c>
      <c r="H160" s="109" t="str">
        <f t="shared" si="2"/>
        <v>ок</v>
      </c>
      <c r="I160" s="88"/>
      <c r="J160" s="88"/>
      <c r="M160" s="88"/>
    </row>
    <row r="161">
      <c r="A161" s="119" t="s">
        <v>687</v>
      </c>
      <c r="B161" s="111" t="s">
        <v>89</v>
      </c>
      <c r="C161" s="111" t="s">
        <v>688</v>
      </c>
      <c r="D161" s="112">
        <v>1000000.0</v>
      </c>
      <c r="E161" s="113">
        <v>46171.0</v>
      </c>
      <c r="F161" s="111" t="s">
        <v>689</v>
      </c>
      <c r="G161" s="114" t="s">
        <v>690</v>
      </c>
      <c r="H161" s="109" t="str">
        <f t="shared" si="2"/>
        <v>ок</v>
      </c>
      <c r="I161" s="88"/>
      <c r="J161" s="88"/>
      <c r="M161" s="88"/>
    </row>
    <row r="162">
      <c r="A162" s="104" t="s">
        <v>687</v>
      </c>
      <c r="B162" s="111" t="s">
        <v>81</v>
      </c>
      <c r="C162" s="111" t="s">
        <v>688</v>
      </c>
      <c r="D162" s="112">
        <v>1000000.0</v>
      </c>
      <c r="E162" s="113">
        <v>46112.0</v>
      </c>
      <c r="F162" s="111" t="s">
        <v>692</v>
      </c>
      <c r="G162" s="114" t="s">
        <v>693</v>
      </c>
      <c r="H162" s="109" t="str">
        <f t="shared" si="2"/>
        <v>ок</v>
      </c>
      <c r="I162" s="88"/>
      <c r="J162" s="88"/>
      <c r="M162" s="88"/>
    </row>
    <row r="163">
      <c r="A163" s="104" t="s">
        <v>687</v>
      </c>
      <c r="B163" s="111" t="s">
        <v>71</v>
      </c>
      <c r="C163" s="111" t="s">
        <v>688</v>
      </c>
      <c r="D163" s="112">
        <v>1000000.0</v>
      </c>
      <c r="E163" s="113">
        <v>46021.0</v>
      </c>
      <c r="F163" s="111" t="s">
        <v>694</v>
      </c>
      <c r="G163" s="114" t="s">
        <v>695</v>
      </c>
      <c r="H163" s="109" t="str">
        <f t="shared" si="2"/>
        <v>ок</v>
      </c>
      <c r="I163" s="88"/>
      <c r="J163" s="88"/>
      <c r="M163" s="88"/>
    </row>
    <row r="164">
      <c r="A164" s="104" t="s">
        <v>687</v>
      </c>
      <c r="B164" s="111" t="s">
        <v>85</v>
      </c>
      <c r="C164" s="111" t="s">
        <v>688</v>
      </c>
      <c r="D164" s="112">
        <v>1000000.0</v>
      </c>
      <c r="E164" s="113">
        <v>46142.0</v>
      </c>
      <c r="F164" s="111" t="s">
        <v>696</v>
      </c>
      <c r="G164" s="114" t="s">
        <v>697</v>
      </c>
      <c r="H164" s="109" t="str">
        <f t="shared" si="2"/>
        <v>ок</v>
      </c>
      <c r="I164" s="88"/>
      <c r="J164" s="88"/>
      <c r="M164" s="88"/>
    </row>
    <row r="165">
      <c r="A165" s="104" t="s">
        <v>687</v>
      </c>
      <c r="B165" s="111" t="s">
        <v>66</v>
      </c>
      <c r="C165" s="111" t="s">
        <v>688</v>
      </c>
      <c r="D165" s="112">
        <v>1000000.0</v>
      </c>
      <c r="E165" s="113">
        <v>45989.0</v>
      </c>
      <c r="F165" s="111" t="s">
        <v>698</v>
      </c>
      <c r="G165" s="114" t="s">
        <v>699</v>
      </c>
      <c r="H165" s="109" t="str">
        <f t="shared" si="2"/>
        <v>ок</v>
      </c>
      <c r="I165" s="88"/>
      <c r="J165" s="88"/>
      <c r="M165" s="88"/>
    </row>
    <row r="166">
      <c r="A166" s="104" t="s">
        <v>687</v>
      </c>
      <c r="B166" s="111" t="s">
        <v>76</v>
      </c>
      <c r="C166" s="111" t="s">
        <v>688</v>
      </c>
      <c r="D166" s="112">
        <v>1000000.0</v>
      </c>
      <c r="E166" s="113">
        <v>46080.0</v>
      </c>
      <c r="F166" s="111" t="s">
        <v>700</v>
      </c>
      <c r="G166" s="114" t="s">
        <v>701</v>
      </c>
      <c r="H166" s="109" t="str">
        <f t="shared" si="2"/>
        <v>ок</v>
      </c>
      <c r="I166" s="88"/>
      <c r="J166" s="88"/>
      <c r="M166" s="88"/>
    </row>
    <row r="167">
      <c r="A167" s="104" t="s">
        <v>687</v>
      </c>
      <c r="B167" s="111" t="s">
        <v>61</v>
      </c>
      <c r="C167" s="111" t="s">
        <v>688</v>
      </c>
      <c r="D167" s="112">
        <v>1000000.0</v>
      </c>
      <c r="E167" s="113">
        <v>45961.0</v>
      </c>
      <c r="F167" s="111" t="s">
        <v>702</v>
      </c>
      <c r="G167" s="114" t="s">
        <v>703</v>
      </c>
      <c r="H167" s="109" t="str">
        <f t="shared" si="2"/>
        <v>ок</v>
      </c>
      <c r="I167" s="88"/>
      <c r="J167" s="88"/>
      <c r="M167" s="88"/>
    </row>
    <row r="168">
      <c r="A168" s="104" t="s">
        <v>687</v>
      </c>
      <c r="B168" s="111" t="s">
        <v>56</v>
      </c>
      <c r="C168" s="111" t="s">
        <v>688</v>
      </c>
      <c r="D168" s="112">
        <v>1000000.0</v>
      </c>
      <c r="E168" s="113">
        <v>46052.0</v>
      </c>
      <c r="F168" s="111" t="s">
        <v>704</v>
      </c>
      <c r="G168" s="114" t="s">
        <v>705</v>
      </c>
      <c r="H168" s="109" t="str">
        <f t="shared" si="2"/>
        <v>ок</v>
      </c>
      <c r="I168" s="88"/>
      <c r="J168" s="88"/>
      <c r="M168" s="88"/>
    </row>
    <row r="169">
      <c r="A169" s="104" t="s">
        <v>706</v>
      </c>
      <c r="B169" s="111" t="s">
        <v>605</v>
      </c>
      <c r="C169" s="111" t="s">
        <v>707</v>
      </c>
      <c r="D169" s="112">
        <v>1000000.0</v>
      </c>
      <c r="E169" s="113">
        <v>46171.0</v>
      </c>
      <c r="F169" s="111" t="s">
        <v>708</v>
      </c>
      <c r="G169" s="114" t="s">
        <v>709</v>
      </c>
      <c r="H169" s="109" t="str">
        <f t="shared" si="2"/>
        <v>ок</v>
      </c>
      <c r="I169" s="88"/>
      <c r="J169" s="88"/>
      <c r="M169" s="88"/>
    </row>
    <row r="170">
      <c r="A170" s="104" t="s">
        <v>706</v>
      </c>
      <c r="B170" s="111" t="s">
        <v>600</v>
      </c>
      <c r="C170" s="111" t="s">
        <v>707</v>
      </c>
      <c r="D170" s="112">
        <v>1000000.0</v>
      </c>
      <c r="E170" s="113">
        <v>46142.0</v>
      </c>
      <c r="F170" s="111" t="s">
        <v>710</v>
      </c>
      <c r="G170" s="114" t="s">
        <v>711</v>
      </c>
      <c r="H170" s="109" t="str">
        <f t="shared" si="2"/>
        <v>ок</v>
      </c>
      <c r="I170" s="88"/>
      <c r="J170" s="88"/>
      <c r="M170" s="88"/>
    </row>
    <row r="171">
      <c r="A171" s="104" t="s">
        <v>706</v>
      </c>
      <c r="B171" s="111" t="s">
        <v>579</v>
      </c>
      <c r="C171" s="111" t="s">
        <v>707</v>
      </c>
      <c r="D171" s="112">
        <v>1000000.0</v>
      </c>
      <c r="E171" s="113">
        <v>45989.0</v>
      </c>
      <c r="F171" s="111" t="s">
        <v>713</v>
      </c>
      <c r="G171" s="114" t="s">
        <v>714</v>
      </c>
      <c r="H171" s="109" t="str">
        <f t="shared" si="2"/>
        <v>ок</v>
      </c>
      <c r="I171" s="88"/>
      <c r="J171" s="88"/>
      <c r="M171" s="88"/>
    </row>
    <row r="172">
      <c r="A172" s="104" t="s">
        <v>706</v>
      </c>
      <c r="B172" s="111" t="s">
        <v>584</v>
      </c>
      <c r="C172" s="111" t="s">
        <v>707</v>
      </c>
      <c r="D172" s="112">
        <v>1000000.0</v>
      </c>
      <c r="E172" s="113">
        <v>46021.0</v>
      </c>
      <c r="F172" s="111" t="s">
        <v>715</v>
      </c>
      <c r="G172" s="114" t="s">
        <v>716</v>
      </c>
      <c r="H172" s="109" t="str">
        <f t="shared" si="2"/>
        <v>ок</v>
      </c>
      <c r="I172" s="88"/>
      <c r="J172" s="88"/>
      <c r="M172" s="88"/>
    </row>
    <row r="173">
      <c r="A173" s="104" t="s">
        <v>706</v>
      </c>
      <c r="B173" s="111" t="s">
        <v>594</v>
      </c>
      <c r="C173" s="111" t="s">
        <v>707</v>
      </c>
      <c r="D173" s="112">
        <v>1000000.0</v>
      </c>
      <c r="E173" s="113">
        <v>46112.0</v>
      </c>
      <c r="F173" s="111" t="s">
        <v>717</v>
      </c>
      <c r="G173" s="114" t="s">
        <v>718</v>
      </c>
      <c r="H173" s="109" t="str">
        <f t="shared" si="2"/>
        <v>ок</v>
      </c>
      <c r="I173" s="88"/>
      <c r="J173" s="88"/>
      <c r="M173" s="88"/>
    </row>
    <row r="174">
      <c r="A174" s="104" t="s">
        <v>706</v>
      </c>
      <c r="B174" s="111" t="s">
        <v>589</v>
      </c>
      <c r="C174" s="111" t="s">
        <v>707</v>
      </c>
      <c r="D174" s="112">
        <v>1000000.0</v>
      </c>
      <c r="E174" s="113">
        <v>46080.0</v>
      </c>
      <c r="F174" s="111" t="s">
        <v>719</v>
      </c>
      <c r="G174" s="114" t="s">
        <v>720</v>
      </c>
      <c r="H174" s="109" t="str">
        <f t="shared" si="2"/>
        <v>ок</v>
      </c>
      <c r="I174" s="88"/>
      <c r="J174" s="88"/>
      <c r="M174" s="88"/>
    </row>
    <row r="175">
      <c r="A175" s="104" t="s">
        <v>706</v>
      </c>
      <c r="B175" s="111" t="s">
        <v>574</v>
      </c>
      <c r="C175" s="111" t="s">
        <v>707</v>
      </c>
      <c r="D175" s="112">
        <v>1000000.0</v>
      </c>
      <c r="E175" s="113">
        <v>45961.0</v>
      </c>
      <c r="F175" s="111" t="s">
        <v>721</v>
      </c>
      <c r="G175" s="114" t="s">
        <v>722</v>
      </c>
      <c r="H175" s="109" t="str">
        <f t="shared" si="2"/>
        <v>ок</v>
      </c>
      <c r="I175" s="88"/>
      <c r="J175" s="88"/>
      <c r="M175" s="88"/>
    </row>
    <row r="176">
      <c r="A176" s="104" t="s">
        <v>706</v>
      </c>
      <c r="B176" s="111" t="s">
        <v>569</v>
      </c>
      <c r="C176" s="111" t="s">
        <v>707</v>
      </c>
      <c r="D176" s="112">
        <v>1000000.0</v>
      </c>
      <c r="E176" s="113">
        <v>46052.0</v>
      </c>
      <c r="F176" s="111" t="s">
        <v>723</v>
      </c>
      <c r="G176" s="114" t="s">
        <v>724</v>
      </c>
      <c r="H176" s="109" t="str">
        <f t="shared" si="2"/>
        <v>ок</v>
      </c>
      <c r="I176" s="88"/>
      <c r="J176" s="88"/>
      <c r="M176" s="88"/>
    </row>
    <row r="177">
      <c r="A177" s="104" t="s">
        <v>52</v>
      </c>
      <c r="B177" s="111" t="s">
        <v>49</v>
      </c>
      <c r="C177" s="111" t="s">
        <v>53</v>
      </c>
      <c r="D177" s="112">
        <v>100.0</v>
      </c>
      <c r="E177" s="113">
        <v>46007.0</v>
      </c>
      <c r="F177" s="111" t="s">
        <v>54</v>
      </c>
      <c r="G177" s="114" t="s">
        <v>55</v>
      </c>
      <c r="H177" s="109" t="str">
        <f t="shared" si="2"/>
        <v>ок</v>
      </c>
      <c r="I177" s="88"/>
      <c r="J177" s="88"/>
      <c r="M177" s="88"/>
    </row>
    <row r="178">
      <c r="A178" s="119" t="s">
        <v>52</v>
      </c>
      <c r="B178" s="111" t="s">
        <v>725</v>
      </c>
      <c r="C178" s="111" t="s">
        <v>53</v>
      </c>
      <c r="D178" s="112">
        <v>100.0</v>
      </c>
      <c r="E178" s="113">
        <v>45825.0</v>
      </c>
      <c r="F178" s="111" t="s">
        <v>726</v>
      </c>
      <c r="G178" s="114" t="s">
        <v>727</v>
      </c>
      <c r="H178" s="109" t="str">
        <f t="shared" si="2"/>
        <v>удалить</v>
      </c>
      <c r="I178" s="88"/>
      <c r="J178" s="88"/>
      <c r="M178" s="88"/>
    </row>
    <row r="179">
      <c r="A179" s="104" t="s">
        <v>318</v>
      </c>
      <c r="B179" s="111" t="s">
        <v>712</v>
      </c>
      <c r="C179" s="111" t="s">
        <v>320</v>
      </c>
      <c r="D179" s="112">
        <v>1000.0</v>
      </c>
      <c r="E179" s="113">
        <v>46100.0</v>
      </c>
      <c r="F179" s="111" t="s">
        <v>728</v>
      </c>
      <c r="G179" s="114" t="s">
        <v>729</v>
      </c>
      <c r="H179" s="109" t="str">
        <f t="shared" si="2"/>
        <v>ок</v>
      </c>
      <c r="I179" s="88"/>
      <c r="J179" s="88"/>
      <c r="M179" s="88"/>
    </row>
    <row r="180">
      <c r="A180" s="104" t="s">
        <v>730</v>
      </c>
      <c r="B180" s="111" t="s">
        <v>39</v>
      </c>
      <c r="C180" s="122" t="s">
        <v>731</v>
      </c>
      <c r="D180" s="112">
        <v>1.0</v>
      </c>
      <c r="E180" s="113">
        <v>46010.0</v>
      </c>
      <c r="F180" s="111" t="s">
        <v>732</v>
      </c>
      <c r="G180" s="120" t="s">
        <v>733</v>
      </c>
      <c r="H180" s="109" t="str">
        <f t="shared" si="2"/>
        <v>ок</v>
      </c>
      <c r="I180" s="88"/>
      <c r="J180" s="88"/>
      <c r="M180" s="88"/>
    </row>
    <row r="181">
      <c r="A181" s="104" t="s">
        <v>734</v>
      </c>
      <c r="B181" s="111" t="s">
        <v>691</v>
      </c>
      <c r="C181" s="111" t="s">
        <v>735</v>
      </c>
      <c r="D181" s="112">
        <v>1.0</v>
      </c>
      <c r="E181" s="113">
        <v>46010.0</v>
      </c>
      <c r="F181" s="111" t="s">
        <v>736</v>
      </c>
      <c r="G181" s="120" t="s">
        <v>737</v>
      </c>
      <c r="H181" s="109" t="str">
        <f t="shared" si="2"/>
        <v>ок</v>
      </c>
      <c r="I181" s="88"/>
      <c r="J181" s="88"/>
      <c r="M181" s="88"/>
    </row>
    <row r="182">
      <c r="A182" s="104" t="s">
        <v>738</v>
      </c>
      <c r="B182" s="111" t="s">
        <v>33</v>
      </c>
      <c r="C182" s="111" t="s">
        <v>739</v>
      </c>
      <c r="D182" s="112">
        <v>100.0</v>
      </c>
      <c r="E182" s="113">
        <v>46010.0</v>
      </c>
      <c r="F182" s="111" t="s">
        <v>740</v>
      </c>
      <c r="G182" s="120" t="s">
        <v>741</v>
      </c>
      <c r="H182" s="109" t="str">
        <f t="shared" si="2"/>
        <v>ок</v>
      </c>
      <c r="I182" s="88"/>
      <c r="J182" s="88"/>
      <c r="M182" s="88"/>
    </row>
    <row r="183">
      <c r="A183" s="104" t="s">
        <v>742</v>
      </c>
      <c r="B183" s="111" t="s">
        <v>457</v>
      </c>
      <c r="C183" s="111" t="s">
        <v>743</v>
      </c>
      <c r="D183" s="112">
        <v>10.0</v>
      </c>
      <c r="E183" s="113">
        <v>46007.0</v>
      </c>
      <c r="F183" s="111" t="s">
        <v>744</v>
      </c>
      <c r="G183" s="120" t="s">
        <v>745</v>
      </c>
      <c r="H183" s="109" t="str">
        <f t="shared" si="2"/>
        <v>ок</v>
      </c>
      <c r="I183" s="88"/>
      <c r="J183" s="88"/>
      <c r="M183" s="88"/>
    </row>
    <row r="184">
      <c r="A184" s="104" t="s">
        <v>746</v>
      </c>
      <c r="B184" s="111" t="s">
        <v>408</v>
      </c>
      <c r="C184" s="111" t="s">
        <v>194</v>
      </c>
      <c r="D184" s="112">
        <v>1.0</v>
      </c>
      <c r="E184" s="113">
        <v>46009.0</v>
      </c>
      <c r="F184" s="111" t="s">
        <v>747</v>
      </c>
      <c r="G184" s="120" t="s">
        <v>748</v>
      </c>
      <c r="H184" s="109" t="str">
        <f t="shared" si="2"/>
        <v>ок</v>
      </c>
      <c r="I184" s="88"/>
      <c r="J184" s="88"/>
      <c r="K184" s="88"/>
      <c r="L184" s="88"/>
      <c r="M184" s="88"/>
    </row>
    <row r="185">
      <c r="A185" s="104" t="s">
        <v>228</v>
      </c>
      <c r="B185" s="111" t="s">
        <v>396</v>
      </c>
      <c r="C185" s="111" t="s">
        <v>230</v>
      </c>
      <c r="D185" s="112">
        <v>1.0</v>
      </c>
      <c r="E185" s="113">
        <v>46009.0</v>
      </c>
      <c r="F185" s="111" t="s">
        <v>749</v>
      </c>
      <c r="G185" s="120" t="s">
        <v>750</v>
      </c>
      <c r="H185" s="109" t="str">
        <f t="shared" si="2"/>
        <v>ок</v>
      </c>
      <c r="I185" s="88"/>
      <c r="J185" s="88"/>
      <c r="K185" s="88"/>
      <c r="L185" s="88"/>
      <c r="M185" s="88"/>
    </row>
    <row r="186">
      <c r="A186" s="104" t="s">
        <v>751</v>
      </c>
      <c r="B186" s="111" t="s">
        <v>24</v>
      </c>
      <c r="C186" s="111" t="s">
        <v>752</v>
      </c>
      <c r="D186" s="112">
        <v>1000.0</v>
      </c>
      <c r="E186" s="113">
        <v>46010.0</v>
      </c>
      <c r="F186" s="111" t="s">
        <v>753</v>
      </c>
      <c r="G186" s="120" t="s">
        <v>754</v>
      </c>
      <c r="H186" s="109" t="str">
        <f t="shared" si="2"/>
        <v>ок</v>
      </c>
      <c r="I186" s="88"/>
      <c r="J186" s="88"/>
      <c r="K186" s="88"/>
      <c r="L186" s="88"/>
      <c r="M186" s="88"/>
    </row>
    <row r="187">
      <c r="A187" s="104" t="s">
        <v>519</v>
      </c>
      <c r="B187" s="111" t="s">
        <v>289</v>
      </c>
      <c r="C187" s="121" t="s">
        <v>520</v>
      </c>
      <c r="D187" s="112">
        <v>100.0</v>
      </c>
      <c r="E187" s="113">
        <v>46101.0</v>
      </c>
      <c r="F187" s="111" t="s">
        <v>755</v>
      </c>
      <c r="G187" s="114" t="s">
        <v>756</v>
      </c>
      <c r="H187" s="109" t="str">
        <f t="shared" si="2"/>
        <v>ок</v>
      </c>
      <c r="I187" s="88"/>
      <c r="J187" s="88"/>
      <c r="K187" s="88"/>
      <c r="L187" s="88"/>
      <c r="M187" s="88"/>
    </row>
    <row r="188">
      <c r="A188" s="104" t="s">
        <v>757</v>
      </c>
      <c r="B188" s="111" t="s">
        <v>20</v>
      </c>
      <c r="C188" s="111" t="s">
        <v>758</v>
      </c>
      <c r="D188" s="112">
        <v>100.0</v>
      </c>
      <c r="E188" s="113">
        <v>46010.0</v>
      </c>
      <c r="F188" s="111" t="s">
        <v>759</v>
      </c>
      <c r="G188" s="114" t="s">
        <v>760</v>
      </c>
      <c r="H188" s="109" t="str">
        <f t="shared" si="2"/>
        <v>ок</v>
      </c>
      <c r="I188" s="88"/>
      <c r="J188" s="88"/>
      <c r="K188" s="88"/>
      <c r="L188" s="88"/>
      <c r="M188" s="88"/>
    </row>
    <row r="189">
      <c r="A189" s="127" t="s">
        <v>387</v>
      </c>
      <c r="B189" s="128" t="s">
        <v>162</v>
      </c>
      <c r="C189" s="128" t="s">
        <v>391</v>
      </c>
      <c r="D189" s="129">
        <v>10.0</v>
      </c>
      <c r="E189" s="130">
        <v>45964.0</v>
      </c>
      <c r="F189" s="128" t="s">
        <v>761</v>
      </c>
      <c r="G189" s="131" t="s">
        <v>762</v>
      </c>
      <c r="H189" s="132" t="str">
        <f t="shared" si="2"/>
        <v>ок</v>
      </c>
      <c r="I189" s="88"/>
      <c r="J189" s="88"/>
      <c r="K189" s="88"/>
      <c r="L189" s="88"/>
      <c r="M189" s="88"/>
    </row>
    <row r="190">
      <c r="A190" s="133"/>
      <c r="B190" s="133"/>
      <c r="C190" s="133"/>
      <c r="D190" s="133"/>
      <c r="E190" s="133"/>
      <c r="F190" s="133"/>
      <c r="G190" s="88"/>
      <c r="H190" s="88"/>
      <c r="I190" s="88"/>
      <c r="J190" s="88"/>
      <c r="K190" s="88"/>
      <c r="L190" s="88"/>
      <c r="M190" s="88"/>
    </row>
    <row r="191">
      <c r="A191" s="133"/>
      <c r="B191" s="133"/>
      <c r="C191" s="133"/>
      <c r="D191" s="133"/>
      <c r="E191" s="133"/>
      <c r="F191" s="133"/>
      <c r="G191" s="88"/>
      <c r="H191" s="88"/>
      <c r="I191" s="88"/>
      <c r="J191" s="88"/>
      <c r="K191" s="88"/>
      <c r="L191" s="88"/>
      <c r="M191" s="88"/>
    </row>
    <row r="192">
      <c r="A192" s="133"/>
      <c r="B192" s="133"/>
      <c r="C192" s="133"/>
      <c r="D192" s="133"/>
      <c r="E192" s="133"/>
      <c r="F192" s="133"/>
      <c r="G192" s="88"/>
      <c r="H192" s="88"/>
      <c r="I192" s="88"/>
      <c r="J192" s="88"/>
      <c r="K192" s="88"/>
      <c r="L192" s="88"/>
      <c r="M192" s="88"/>
    </row>
    <row r="193">
      <c r="A193" s="133"/>
      <c r="B193" s="133"/>
      <c r="C193" s="133"/>
      <c r="D193" s="133"/>
      <c r="E193" s="133"/>
      <c r="F193" s="133"/>
      <c r="G193" s="88"/>
      <c r="H193" s="88"/>
      <c r="I193" s="88"/>
      <c r="J193" s="88"/>
      <c r="K193" s="88"/>
      <c r="L193" s="88"/>
      <c r="M193" s="88"/>
    </row>
    <row r="194">
      <c r="A194" s="133"/>
      <c r="B194" s="133"/>
      <c r="C194" s="133"/>
      <c r="D194" s="133"/>
      <c r="E194" s="133"/>
      <c r="F194" s="133"/>
      <c r="G194" s="88"/>
      <c r="H194" s="88"/>
      <c r="I194" s="88"/>
      <c r="J194" s="88"/>
      <c r="K194" s="88"/>
      <c r="L194" s="88"/>
      <c r="M194" s="88"/>
    </row>
    <row r="195">
      <c r="A195" s="133"/>
      <c r="B195" s="133"/>
      <c r="C195" s="133"/>
      <c r="D195" s="133"/>
      <c r="E195" s="133"/>
      <c r="F195" s="133"/>
      <c r="G195" s="88"/>
      <c r="H195" s="88"/>
      <c r="I195" s="88"/>
      <c r="J195" s="88"/>
      <c r="K195" s="88"/>
      <c r="L195" s="88"/>
      <c r="M195" s="88"/>
    </row>
    <row r="196">
      <c r="A196" s="133"/>
      <c r="B196" s="133"/>
      <c r="C196" s="133"/>
      <c r="D196" s="133"/>
      <c r="E196" s="133"/>
      <c r="F196" s="133"/>
      <c r="G196" s="88"/>
      <c r="H196" s="88"/>
      <c r="I196" s="88"/>
      <c r="J196" s="88"/>
      <c r="K196" s="88"/>
      <c r="L196" s="88"/>
      <c r="M196" s="88"/>
    </row>
    <row r="197">
      <c r="A197" s="133"/>
      <c r="B197" s="133"/>
      <c r="C197" s="133"/>
      <c r="D197" s="133"/>
      <c r="E197" s="133"/>
      <c r="F197" s="133"/>
      <c r="G197" s="88"/>
      <c r="H197" s="88"/>
      <c r="I197" s="88"/>
      <c r="J197" s="88"/>
      <c r="K197" s="88"/>
      <c r="L197" s="88"/>
      <c r="M197" s="88"/>
    </row>
    <row r="198">
      <c r="A198" s="133"/>
      <c r="B198" s="133"/>
      <c r="C198" s="133"/>
      <c r="D198" s="133"/>
      <c r="E198" s="133"/>
      <c r="F198" s="133"/>
      <c r="G198" s="88"/>
      <c r="H198" s="88"/>
      <c r="I198" s="88"/>
      <c r="J198" s="88"/>
      <c r="K198" s="88"/>
      <c r="L198" s="88"/>
      <c r="M198" s="88"/>
    </row>
    <row r="199">
      <c r="A199" s="133"/>
      <c r="B199" s="133"/>
      <c r="C199" s="133"/>
      <c r="D199" s="133"/>
      <c r="E199" s="133"/>
      <c r="F199" s="133"/>
      <c r="G199" s="88"/>
      <c r="H199" s="88"/>
      <c r="I199" s="88"/>
      <c r="J199" s="88"/>
      <c r="K199" s="88"/>
      <c r="L199" s="88"/>
      <c r="M199" s="88"/>
    </row>
    <row r="200">
      <c r="A200" s="133"/>
      <c r="B200" s="133"/>
      <c r="C200" s="133"/>
      <c r="D200" s="133"/>
      <c r="E200" s="133"/>
      <c r="F200" s="133"/>
      <c r="G200" s="88"/>
      <c r="H200" s="88"/>
      <c r="I200" s="88"/>
      <c r="J200" s="88"/>
      <c r="K200" s="88"/>
      <c r="L200" s="88"/>
      <c r="M200" s="88"/>
    </row>
    <row r="201">
      <c r="A201" s="133"/>
      <c r="B201" s="133"/>
      <c r="C201" s="133"/>
      <c r="D201" s="133"/>
      <c r="E201" s="133"/>
      <c r="F201" s="133"/>
      <c r="G201" s="88"/>
      <c r="H201" s="88"/>
      <c r="I201" s="88"/>
      <c r="J201" s="88"/>
      <c r="K201" s="88"/>
      <c r="L201" s="88"/>
      <c r="M201" s="88"/>
    </row>
    <row r="202">
      <c r="A202" s="133"/>
      <c r="B202" s="133"/>
      <c r="C202" s="133"/>
      <c r="D202" s="133"/>
      <c r="E202" s="133"/>
      <c r="F202" s="133"/>
      <c r="G202" s="88"/>
      <c r="H202" s="88"/>
      <c r="I202" s="88"/>
      <c r="J202" s="88"/>
      <c r="K202" s="88"/>
      <c r="L202" s="88"/>
      <c r="M202" s="88"/>
    </row>
    <row r="203">
      <c r="A203" s="133"/>
      <c r="B203" s="133"/>
      <c r="C203" s="133"/>
      <c r="D203" s="133"/>
      <c r="E203" s="133"/>
      <c r="F203" s="133"/>
      <c r="G203" s="88"/>
      <c r="H203" s="88"/>
      <c r="I203" s="88"/>
      <c r="J203" s="88"/>
      <c r="K203" s="88"/>
      <c r="L203" s="88"/>
      <c r="M203" s="88"/>
    </row>
    <row r="204">
      <c r="A204" s="133"/>
      <c r="B204" s="133"/>
      <c r="C204" s="133"/>
      <c r="D204" s="133"/>
      <c r="E204" s="133"/>
      <c r="F204" s="133"/>
      <c r="G204" s="88"/>
      <c r="H204" s="88"/>
      <c r="I204" s="88"/>
      <c r="J204" s="88"/>
      <c r="K204" s="88"/>
      <c r="L204" s="88"/>
      <c r="M204" s="88"/>
    </row>
    <row r="205">
      <c r="A205" s="133"/>
      <c r="B205" s="133"/>
      <c r="C205" s="133"/>
      <c r="D205" s="133"/>
      <c r="E205" s="133"/>
      <c r="F205" s="133"/>
      <c r="G205" s="88"/>
      <c r="H205" s="88"/>
      <c r="I205" s="88"/>
      <c r="J205" s="88"/>
      <c r="K205" s="88"/>
      <c r="L205" s="88"/>
      <c r="M205" s="88"/>
    </row>
    <row r="206">
      <c r="A206" s="133"/>
      <c r="B206" s="133"/>
      <c r="C206" s="133"/>
      <c r="D206" s="133"/>
      <c r="E206" s="133"/>
      <c r="F206" s="133"/>
      <c r="G206" s="88"/>
      <c r="H206" s="88"/>
      <c r="I206" s="88"/>
      <c r="J206" s="88"/>
      <c r="K206" s="88"/>
      <c r="L206" s="88"/>
      <c r="M206" s="88"/>
    </row>
    <row r="207">
      <c r="A207" s="133"/>
      <c r="B207" s="133"/>
      <c r="C207" s="133"/>
      <c r="D207" s="133"/>
      <c r="E207" s="133"/>
      <c r="F207" s="133"/>
      <c r="G207" s="88"/>
      <c r="H207" s="88"/>
      <c r="I207" s="88"/>
      <c r="J207" s="88"/>
      <c r="K207" s="88"/>
      <c r="L207" s="88"/>
      <c r="M207" s="88"/>
    </row>
    <row r="208">
      <c r="A208" s="133"/>
      <c r="B208" s="133"/>
      <c r="C208" s="133"/>
      <c r="D208" s="133"/>
      <c r="E208" s="133"/>
      <c r="F208" s="133"/>
      <c r="G208" s="88"/>
      <c r="H208" s="88"/>
      <c r="I208" s="88"/>
      <c r="J208" s="88"/>
      <c r="K208" s="88"/>
      <c r="L208" s="88"/>
      <c r="M208" s="88"/>
    </row>
    <row r="209">
      <c r="A209" s="133"/>
      <c r="B209" s="133"/>
      <c r="C209" s="133"/>
      <c r="D209" s="133"/>
      <c r="E209" s="133"/>
      <c r="F209" s="133"/>
      <c r="G209" s="88"/>
      <c r="H209" s="88"/>
      <c r="I209" s="88"/>
      <c r="J209" s="88"/>
      <c r="K209" s="88"/>
      <c r="L209" s="88"/>
      <c r="M209" s="88"/>
    </row>
    <row r="210">
      <c r="A210" s="133"/>
      <c r="B210" s="133"/>
      <c r="C210" s="133"/>
      <c r="D210" s="133"/>
      <c r="E210" s="133"/>
      <c r="F210" s="133"/>
      <c r="G210" s="88"/>
      <c r="H210" s="88"/>
      <c r="I210" s="88"/>
      <c r="J210" s="88"/>
      <c r="K210" s="88"/>
      <c r="L210" s="88"/>
      <c r="M210" s="88"/>
    </row>
    <row r="211">
      <c r="A211" s="133"/>
      <c r="B211" s="133"/>
      <c r="C211" s="133"/>
      <c r="D211" s="133"/>
      <c r="E211" s="133"/>
      <c r="F211" s="133"/>
      <c r="G211" s="88"/>
      <c r="H211" s="88"/>
      <c r="I211" s="88"/>
      <c r="J211" s="88"/>
      <c r="K211" s="88"/>
      <c r="L211" s="88"/>
      <c r="M211" s="88"/>
    </row>
    <row r="212">
      <c r="A212" s="133"/>
      <c r="B212" s="133"/>
      <c r="C212" s="133"/>
      <c r="D212" s="133"/>
      <c r="E212" s="133"/>
      <c r="F212" s="133"/>
      <c r="G212" s="88"/>
      <c r="H212" s="88"/>
      <c r="I212" s="88"/>
      <c r="J212" s="88"/>
      <c r="K212" s="88"/>
      <c r="L212" s="88"/>
      <c r="M212" s="88"/>
    </row>
    <row r="213">
      <c r="A213" s="133"/>
      <c r="B213" s="133"/>
      <c r="C213" s="133"/>
      <c r="D213" s="133"/>
      <c r="E213" s="133"/>
      <c r="F213" s="133"/>
      <c r="G213" s="88"/>
      <c r="H213" s="88"/>
      <c r="I213" s="88"/>
      <c r="J213" s="88"/>
      <c r="K213" s="88"/>
      <c r="L213" s="88"/>
      <c r="M213" s="88"/>
    </row>
    <row r="214">
      <c r="A214" s="133"/>
      <c r="B214" s="133"/>
      <c r="C214" s="133"/>
      <c r="D214" s="133"/>
      <c r="E214" s="133"/>
      <c r="F214" s="133"/>
      <c r="G214" s="88"/>
      <c r="H214" s="88"/>
      <c r="I214" s="88"/>
      <c r="J214" s="88"/>
      <c r="K214" s="88"/>
      <c r="L214" s="88"/>
      <c r="M214" s="88"/>
    </row>
    <row r="215">
      <c r="A215" s="133"/>
      <c r="B215" s="133"/>
      <c r="C215" s="133"/>
      <c r="D215" s="133"/>
      <c r="E215" s="133"/>
      <c r="F215" s="133"/>
      <c r="G215" s="88"/>
      <c r="H215" s="88"/>
      <c r="I215" s="88"/>
      <c r="J215" s="88"/>
      <c r="K215" s="88"/>
      <c r="L215" s="88"/>
      <c r="M215" s="88"/>
    </row>
    <row r="216">
      <c r="A216" s="133"/>
      <c r="B216" s="133"/>
      <c r="C216" s="133"/>
      <c r="D216" s="133"/>
      <c r="E216" s="133"/>
      <c r="F216" s="133"/>
      <c r="G216" s="88"/>
      <c r="H216" s="88"/>
      <c r="I216" s="88"/>
      <c r="J216" s="88"/>
      <c r="K216" s="88"/>
      <c r="L216" s="88"/>
      <c r="M216" s="88"/>
    </row>
    <row r="217">
      <c r="A217" s="133"/>
      <c r="B217" s="133"/>
      <c r="C217" s="133"/>
      <c r="D217" s="133"/>
      <c r="E217" s="133"/>
      <c r="F217" s="133"/>
      <c r="G217" s="88"/>
      <c r="H217" s="88"/>
      <c r="I217" s="88"/>
      <c r="J217" s="88"/>
      <c r="K217" s="88"/>
      <c r="L217" s="88"/>
      <c r="M217" s="88"/>
    </row>
    <row r="218">
      <c r="A218" s="133"/>
      <c r="B218" s="133"/>
      <c r="C218" s="133"/>
      <c r="D218" s="133"/>
      <c r="E218" s="133"/>
      <c r="F218" s="133"/>
      <c r="G218" s="88"/>
      <c r="H218" s="88"/>
      <c r="I218" s="88"/>
      <c r="J218" s="88"/>
      <c r="K218" s="88"/>
      <c r="L218" s="88"/>
      <c r="M218" s="88"/>
    </row>
    <row r="219">
      <c r="A219" s="133"/>
      <c r="B219" s="133"/>
      <c r="C219" s="133"/>
      <c r="D219" s="133"/>
      <c r="E219" s="133"/>
      <c r="F219" s="133"/>
      <c r="G219" s="88"/>
      <c r="H219" s="88"/>
      <c r="I219" s="88"/>
      <c r="J219" s="88"/>
      <c r="K219" s="88"/>
      <c r="L219" s="88"/>
      <c r="M219" s="88"/>
    </row>
    <row r="220">
      <c r="A220" s="133"/>
      <c r="B220" s="133"/>
      <c r="C220" s="133"/>
      <c r="D220" s="133"/>
      <c r="E220" s="133"/>
      <c r="F220" s="133"/>
      <c r="G220" s="88"/>
      <c r="H220" s="88"/>
      <c r="I220" s="88"/>
      <c r="J220" s="88"/>
      <c r="K220" s="88"/>
      <c r="L220" s="88"/>
      <c r="M220" s="88"/>
    </row>
    <row r="221">
      <c r="A221" s="133"/>
      <c r="B221" s="133"/>
      <c r="C221" s="133"/>
      <c r="D221" s="133"/>
      <c r="E221" s="133"/>
      <c r="F221" s="133"/>
      <c r="G221" s="88"/>
      <c r="H221" s="88"/>
      <c r="I221" s="88"/>
      <c r="J221" s="88"/>
      <c r="K221" s="88"/>
      <c r="L221" s="88"/>
      <c r="M221" s="88"/>
    </row>
    <row r="222">
      <c r="A222" s="133"/>
      <c r="B222" s="133"/>
      <c r="C222" s="133"/>
      <c r="D222" s="133"/>
      <c r="E222" s="133"/>
      <c r="F222" s="133"/>
      <c r="G222" s="88"/>
      <c r="H222" s="88"/>
      <c r="I222" s="88"/>
      <c r="J222" s="88"/>
      <c r="K222" s="88"/>
      <c r="L222" s="88"/>
      <c r="M222" s="88"/>
    </row>
    <row r="223">
      <c r="A223" s="133"/>
      <c r="B223" s="133"/>
      <c r="C223" s="133"/>
      <c r="D223" s="133"/>
      <c r="E223" s="133"/>
      <c r="F223" s="133"/>
      <c r="G223" s="88"/>
      <c r="H223" s="88"/>
      <c r="I223" s="88"/>
      <c r="J223" s="88"/>
      <c r="K223" s="88"/>
      <c r="L223" s="88"/>
      <c r="M223" s="88"/>
    </row>
    <row r="224">
      <c r="A224" s="133"/>
      <c r="B224" s="133"/>
      <c r="C224" s="133"/>
      <c r="D224" s="133"/>
      <c r="E224" s="133"/>
      <c r="F224" s="133"/>
      <c r="G224" s="88"/>
      <c r="H224" s="88"/>
      <c r="I224" s="88"/>
      <c r="J224" s="88"/>
      <c r="K224" s="88"/>
      <c r="L224" s="88"/>
      <c r="M224" s="88"/>
    </row>
    <row r="225">
      <c r="A225" s="133"/>
      <c r="B225" s="133"/>
      <c r="C225" s="133"/>
      <c r="D225" s="133"/>
      <c r="E225" s="133"/>
      <c r="F225" s="133"/>
      <c r="G225" s="88"/>
      <c r="H225" s="88"/>
      <c r="I225" s="88"/>
      <c r="J225" s="88"/>
      <c r="K225" s="88"/>
      <c r="L225" s="88"/>
      <c r="M225" s="88"/>
    </row>
    <row r="226">
      <c r="A226" s="133"/>
      <c r="B226" s="133"/>
      <c r="C226" s="133"/>
      <c r="D226" s="133"/>
      <c r="E226" s="133"/>
      <c r="F226" s="133"/>
      <c r="G226" s="88"/>
      <c r="H226" s="88"/>
      <c r="I226" s="88"/>
      <c r="J226" s="88"/>
      <c r="K226" s="88"/>
      <c r="L226" s="88"/>
      <c r="M226" s="88"/>
    </row>
    <row r="227">
      <c r="A227" s="133"/>
      <c r="B227" s="133"/>
      <c r="C227" s="133"/>
      <c r="D227" s="133"/>
      <c r="E227" s="133"/>
      <c r="F227" s="133"/>
      <c r="G227" s="88"/>
      <c r="H227" s="88"/>
      <c r="I227" s="88"/>
      <c r="J227" s="88"/>
      <c r="K227" s="88"/>
      <c r="L227" s="88"/>
      <c r="M227" s="88"/>
    </row>
    <row r="228">
      <c r="A228" s="133"/>
      <c r="B228" s="133"/>
      <c r="C228" s="133"/>
      <c r="D228" s="133"/>
      <c r="E228" s="133"/>
      <c r="F228" s="133"/>
      <c r="G228" s="88"/>
      <c r="H228" s="88"/>
      <c r="I228" s="88"/>
      <c r="J228" s="88"/>
      <c r="K228" s="88"/>
      <c r="L228" s="88"/>
      <c r="M228" s="88"/>
    </row>
    <row r="229">
      <c r="A229" s="133"/>
      <c r="B229" s="133"/>
      <c r="C229" s="133"/>
      <c r="D229" s="133"/>
      <c r="E229" s="133"/>
      <c r="F229" s="133"/>
      <c r="G229" s="88"/>
      <c r="H229" s="88"/>
      <c r="I229" s="88"/>
      <c r="J229" s="88"/>
      <c r="K229" s="88"/>
      <c r="L229" s="88"/>
      <c r="M229" s="88"/>
    </row>
    <row r="230">
      <c r="A230" s="133"/>
      <c r="B230" s="133"/>
      <c r="C230" s="133"/>
      <c r="D230" s="133"/>
      <c r="E230" s="133"/>
      <c r="F230" s="133"/>
      <c r="G230" s="88"/>
      <c r="H230" s="88"/>
      <c r="I230" s="88"/>
      <c r="J230" s="88"/>
      <c r="K230" s="88"/>
      <c r="L230" s="88"/>
      <c r="M230" s="88"/>
    </row>
    <row r="231">
      <c r="A231" s="133"/>
      <c r="B231" s="133"/>
      <c r="C231" s="133"/>
      <c r="D231" s="133"/>
      <c r="E231" s="133"/>
      <c r="F231" s="133"/>
      <c r="G231" s="88"/>
      <c r="H231" s="88"/>
      <c r="I231" s="88"/>
      <c r="J231" s="88"/>
      <c r="K231" s="88"/>
      <c r="L231" s="88"/>
      <c r="M231" s="88"/>
    </row>
    <row r="232">
      <c r="A232" s="133"/>
      <c r="B232" s="133"/>
      <c r="C232" s="133"/>
      <c r="D232" s="133"/>
      <c r="E232" s="133"/>
      <c r="F232" s="133"/>
      <c r="G232" s="88"/>
      <c r="H232" s="88"/>
      <c r="I232" s="88"/>
      <c r="J232" s="88"/>
      <c r="K232" s="88"/>
      <c r="L232" s="88"/>
      <c r="M232" s="88"/>
    </row>
    <row r="233">
      <c r="A233" s="133"/>
      <c r="B233" s="133"/>
      <c r="C233" s="133"/>
      <c r="D233" s="133"/>
      <c r="E233" s="133"/>
      <c r="F233" s="133"/>
      <c r="G233" s="88"/>
      <c r="H233" s="88"/>
      <c r="I233" s="88"/>
      <c r="J233" s="88"/>
      <c r="K233" s="88"/>
      <c r="L233" s="88"/>
      <c r="M233" s="88"/>
    </row>
    <row r="234">
      <c r="A234" s="133"/>
      <c r="B234" s="133"/>
      <c r="C234" s="133"/>
      <c r="D234" s="133"/>
      <c r="E234" s="133"/>
      <c r="F234" s="133"/>
      <c r="G234" s="88"/>
      <c r="H234" s="88"/>
      <c r="I234" s="88"/>
      <c r="J234" s="88"/>
      <c r="K234" s="88"/>
      <c r="L234" s="88"/>
      <c r="M234" s="88"/>
    </row>
    <row r="235">
      <c r="A235" s="133"/>
      <c r="B235" s="133"/>
      <c r="C235" s="133"/>
      <c r="D235" s="133"/>
      <c r="E235" s="133"/>
      <c r="F235" s="133"/>
      <c r="G235" s="88"/>
      <c r="H235" s="88"/>
      <c r="I235" s="88"/>
      <c r="J235" s="88"/>
      <c r="K235" s="88"/>
      <c r="L235" s="88"/>
      <c r="M235" s="88"/>
    </row>
    <row r="236">
      <c r="A236" s="133"/>
      <c r="B236" s="133"/>
      <c r="C236" s="133"/>
      <c r="D236" s="133"/>
      <c r="E236" s="133"/>
      <c r="F236" s="133"/>
      <c r="G236" s="88"/>
      <c r="H236" s="88"/>
      <c r="I236" s="88"/>
      <c r="J236" s="88"/>
      <c r="K236" s="88"/>
      <c r="L236" s="88"/>
      <c r="M236" s="88"/>
    </row>
    <row r="237">
      <c r="A237" s="133"/>
      <c r="B237" s="133"/>
      <c r="C237" s="133"/>
      <c r="D237" s="133"/>
      <c r="E237" s="133"/>
      <c r="F237" s="133"/>
      <c r="G237" s="88"/>
      <c r="H237" s="88"/>
      <c r="I237" s="88"/>
      <c r="J237" s="88"/>
      <c r="K237" s="88"/>
      <c r="L237" s="88"/>
      <c r="M237" s="88"/>
    </row>
    <row r="238">
      <c r="A238" s="133"/>
      <c r="B238" s="133"/>
      <c r="C238" s="133"/>
      <c r="D238" s="133"/>
      <c r="E238" s="133"/>
      <c r="F238" s="133"/>
      <c r="G238" s="88"/>
      <c r="H238" s="88"/>
      <c r="I238" s="88"/>
      <c r="J238" s="88"/>
      <c r="K238" s="88"/>
      <c r="L238" s="88"/>
      <c r="M238" s="88"/>
    </row>
    <row r="239">
      <c r="A239" s="133"/>
      <c r="B239" s="133"/>
      <c r="C239" s="133"/>
      <c r="D239" s="133"/>
      <c r="E239" s="133"/>
      <c r="F239" s="133"/>
      <c r="G239" s="88"/>
      <c r="H239" s="88"/>
      <c r="I239" s="88"/>
      <c r="J239" s="88"/>
      <c r="K239" s="88"/>
      <c r="L239" s="88"/>
      <c r="M239" s="88"/>
    </row>
    <row r="240">
      <c r="A240" s="133"/>
      <c r="B240" s="133"/>
      <c r="C240" s="133"/>
      <c r="D240" s="133"/>
      <c r="E240" s="133"/>
      <c r="F240" s="133"/>
      <c r="G240" s="88"/>
      <c r="H240" s="88"/>
      <c r="I240" s="88"/>
      <c r="J240" s="88"/>
      <c r="K240" s="88"/>
      <c r="L240" s="88"/>
      <c r="M240" s="88"/>
    </row>
    <row r="241">
      <c r="A241" s="133"/>
      <c r="B241" s="133"/>
      <c r="C241" s="133"/>
      <c r="D241" s="133"/>
      <c r="E241" s="133"/>
      <c r="F241" s="133"/>
      <c r="G241" s="88"/>
      <c r="H241" s="88"/>
      <c r="I241" s="88"/>
      <c r="J241" s="88"/>
      <c r="K241" s="88"/>
      <c r="L241" s="88"/>
      <c r="M241" s="88"/>
    </row>
    <row r="242">
      <c r="A242" s="133"/>
      <c r="B242" s="133"/>
      <c r="C242" s="133"/>
      <c r="D242" s="133"/>
      <c r="E242" s="133"/>
      <c r="F242" s="133"/>
      <c r="G242" s="88"/>
      <c r="H242" s="88"/>
      <c r="I242" s="88"/>
      <c r="J242" s="88"/>
      <c r="K242" s="88"/>
      <c r="L242" s="88"/>
      <c r="M242" s="88"/>
    </row>
    <row r="243">
      <c r="A243" s="133"/>
      <c r="B243" s="133"/>
      <c r="C243" s="133"/>
      <c r="D243" s="133"/>
      <c r="E243" s="133"/>
      <c r="F243" s="133"/>
      <c r="G243" s="88"/>
      <c r="H243" s="88"/>
      <c r="I243" s="88"/>
      <c r="J243" s="88"/>
      <c r="K243" s="88"/>
      <c r="L243" s="88"/>
      <c r="M243" s="88"/>
    </row>
    <row r="244">
      <c r="A244" s="133"/>
      <c r="B244" s="133"/>
      <c r="C244" s="133"/>
      <c r="D244" s="133"/>
      <c r="E244" s="133"/>
      <c r="F244" s="133"/>
      <c r="G244" s="88"/>
      <c r="H244" s="88"/>
      <c r="I244" s="88"/>
      <c r="J244" s="88"/>
      <c r="K244" s="88"/>
      <c r="L244" s="88"/>
      <c r="M244" s="88"/>
    </row>
    <row r="245">
      <c r="A245" s="133"/>
      <c r="B245" s="133"/>
      <c r="C245" s="133"/>
      <c r="D245" s="133"/>
      <c r="E245" s="133"/>
      <c r="F245" s="133"/>
      <c r="G245" s="88"/>
      <c r="H245" s="88"/>
      <c r="I245" s="88"/>
      <c r="J245" s="88"/>
      <c r="K245" s="88"/>
      <c r="L245" s="88"/>
      <c r="M245" s="88"/>
    </row>
    <row r="246">
      <c r="A246" s="133"/>
      <c r="B246" s="133"/>
      <c r="C246" s="133"/>
      <c r="D246" s="133"/>
      <c r="E246" s="133"/>
      <c r="F246" s="133"/>
      <c r="G246" s="88"/>
      <c r="H246" s="88"/>
      <c r="I246" s="88"/>
      <c r="J246" s="88"/>
      <c r="K246" s="88"/>
      <c r="L246" s="88"/>
      <c r="M246" s="88"/>
    </row>
    <row r="247">
      <c r="A247" s="133"/>
      <c r="B247" s="133"/>
      <c r="C247" s="133"/>
      <c r="D247" s="133"/>
      <c r="E247" s="133"/>
      <c r="F247" s="133"/>
      <c r="G247" s="88"/>
      <c r="H247" s="88"/>
      <c r="I247" s="88"/>
      <c r="J247" s="88"/>
      <c r="K247" s="88"/>
      <c r="L247" s="88"/>
      <c r="M247" s="88"/>
    </row>
    <row r="248">
      <c r="A248" s="133"/>
      <c r="B248" s="133"/>
      <c r="C248" s="133"/>
      <c r="D248" s="133"/>
      <c r="E248" s="133"/>
      <c r="F248" s="133"/>
      <c r="G248" s="88"/>
      <c r="H248" s="88"/>
      <c r="I248" s="88"/>
      <c r="J248" s="88"/>
      <c r="K248" s="88"/>
      <c r="L248" s="88"/>
      <c r="M248" s="88"/>
    </row>
    <row r="249">
      <c r="A249" s="133"/>
      <c r="B249" s="133"/>
      <c r="C249" s="133"/>
      <c r="D249" s="133"/>
      <c r="E249" s="133"/>
      <c r="F249" s="133"/>
      <c r="G249" s="88"/>
      <c r="H249" s="88"/>
      <c r="I249" s="88"/>
      <c r="J249" s="88"/>
      <c r="K249" s="88"/>
      <c r="L249" s="88"/>
      <c r="M249" s="88"/>
    </row>
    <row r="250">
      <c r="A250" s="133"/>
      <c r="B250" s="133"/>
      <c r="C250" s="133"/>
      <c r="D250" s="133"/>
      <c r="E250" s="133"/>
      <c r="F250" s="133"/>
      <c r="G250" s="88"/>
      <c r="H250" s="88"/>
      <c r="I250" s="88"/>
      <c r="J250" s="88"/>
      <c r="K250" s="88"/>
      <c r="L250" s="88"/>
      <c r="M250" s="88"/>
    </row>
    <row r="251">
      <c r="A251" s="133"/>
      <c r="B251" s="133"/>
      <c r="C251" s="133"/>
      <c r="D251" s="133"/>
      <c r="E251" s="133"/>
      <c r="F251" s="133"/>
      <c r="G251" s="88"/>
      <c r="H251" s="88"/>
      <c r="I251" s="88"/>
      <c r="J251" s="88"/>
      <c r="K251" s="88"/>
      <c r="L251" s="88"/>
      <c r="M251" s="88"/>
    </row>
    <row r="252">
      <c r="A252" s="133"/>
      <c r="B252" s="133"/>
      <c r="C252" s="133"/>
      <c r="D252" s="133"/>
      <c r="E252" s="133"/>
      <c r="F252" s="133"/>
      <c r="G252" s="88"/>
      <c r="H252" s="88"/>
      <c r="I252" s="88"/>
      <c r="J252" s="88"/>
      <c r="K252" s="88"/>
      <c r="L252" s="88"/>
      <c r="M252" s="88"/>
    </row>
    <row r="253">
      <c r="A253" s="133"/>
      <c r="B253" s="133"/>
      <c r="C253" s="133"/>
      <c r="D253" s="133"/>
      <c r="E253" s="133"/>
      <c r="F253" s="133"/>
      <c r="G253" s="88"/>
      <c r="H253" s="88"/>
      <c r="I253" s="88"/>
      <c r="J253" s="88"/>
      <c r="K253" s="88"/>
      <c r="L253" s="88"/>
      <c r="M253" s="88"/>
    </row>
    <row r="254">
      <c r="A254" s="133"/>
      <c r="B254" s="133"/>
      <c r="C254" s="133"/>
      <c r="D254" s="133"/>
      <c r="E254" s="133"/>
      <c r="F254" s="133"/>
      <c r="G254" s="88"/>
      <c r="H254" s="88"/>
      <c r="I254" s="88"/>
      <c r="J254" s="88"/>
      <c r="K254" s="88"/>
      <c r="L254" s="88"/>
      <c r="M254" s="88"/>
    </row>
    <row r="255">
      <c r="A255" s="133"/>
      <c r="B255" s="133"/>
      <c r="C255" s="133"/>
      <c r="D255" s="133"/>
      <c r="E255" s="133"/>
      <c r="F255" s="133"/>
      <c r="G255" s="88"/>
      <c r="H255" s="88"/>
      <c r="I255" s="88"/>
      <c r="J255" s="88"/>
      <c r="K255" s="88"/>
      <c r="L255" s="88"/>
      <c r="M255" s="88"/>
    </row>
    <row r="256">
      <c r="A256" s="133"/>
      <c r="B256" s="133"/>
      <c r="C256" s="133"/>
      <c r="D256" s="133"/>
      <c r="E256" s="133"/>
      <c r="F256" s="133"/>
      <c r="G256" s="88"/>
      <c r="H256" s="88"/>
      <c r="I256" s="88"/>
      <c r="J256" s="88"/>
      <c r="K256" s="88"/>
      <c r="L256" s="88"/>
      <c r="M256" s="88"/>
    </row>
    <row r="257">
      <c r="A257" s="133"/>
      <c r="B257" s="133"/>
      <c r="C257" s="133"/>
      <c r="D257" s="133"/>
      <c r="E257" s="133"/>
      <c r="F257" s="133"/>
      <c r="G257" s="88"/>
      <c r="H257" s="88"/>
      <c r="I257" s="88"/>
      <c r="J257" s="88"/>
      <c r="K257" s="88"/>
      <c r="L257" s="88"/>
      <c r="M257" s="88"/>
    </row>
    <row r="258">
      <c r="A258" s="133"/>
      <c r="B258" s="133"/>
      <c r="C258" s="133"/>
      <c r="D258" s="133"/>
      <c r="E258" s="133"/>
      <c r="F258" s="133"/>
      <c r="G258" s="88"/>
      <c r="H258" s="88"/>
      <c r="I258" s="88"/>
      <c r="J258" s="88"/>
      <c r="K258" s="88"/>
      <c r="L258" s="88"/>
      <c r="M258" s="88"/>
    </row>
    <row r="259">
      <c r="A259" s="133"/>
      <c r="B259" s="133"/>
      <c r="C259" s="133"/>
      <c r="D259" s="133"/>
      <c r="E259" s="133"/>
      <c r="F259" s="133"/>
      <c r="G259" s="88"/>
      <c r="H259" s="88"/>
      <c r="I259" s="88"/>
      <c r="J259" s="88"/>
      <c r="K259" s="88"/>
      <c r="L259" s="88"/>
      <c r="M259" s="88"/>
    </row>
    <row r="260">
      <c r="A260" s="133"/>
      <c r="B260" s="133"/>
      <c r="C260" s="133"/>
      <c r="D260" s="133"/>
      <c r="E260" s="133"/>
      <c r="F260" s="133"/>
      <c r="G260" s="88"/>
      <c r="H260" s="88"/>
      <c r="I260" s="88"/>
      <c r="J260" s="88"/>
      <c r="K260" s="88"/>
      <c r="L260" s="88"/>
      <c r="M260" s="88"/>
    </row>
    <row r="261">
      <c r="A261" s="133"/>
      <c r="B261" s="133"/>
      <c r="C261" s="133"/>
      <c r="D261" s="133"/>
      <c r="E261" s="133"/>
      <c r="F261" s="133"/>
      <c r="G261" s="88"/>
      <c r="H261" s="88"/>
      <c r="I261" s="88"/>
      <c r="J261" s="88"/>
      <c r="K261" s="88"/>
      <c r="L261" s="88"/>
      <c r="M261" s="88"/>
    </row>
    <row r="262">
      <c r="A262" s="133"/>
      <c r="B262" s="133"/>
      <c r="C262" s="133"/>
      <c r="D262" s="133"/>
      <c r="E262" s="133"/>
      <c r="F262" s="133"/>
      <c r="G262" s="88"/>
      <c r="H262" s="88"/>
      <c r="I262" s="88"/>
      <c r="J262" s="88"/>
      <c r="K262" s="88"/>
      <c r="L262" s="88"/>
      <c r="M262" s="88"/>
    </row>
    <row r="263">
      <c r="A263" s="133"/>
      <c r="B263" s="133"/>
      <c r="C263" s="133"/>
      <c r="D263" s="133"/>
      <c r="E263" s="133"/>
      <c r="F263" s="133"/>
      <c r="G263" s="88"/>
      <c r="H263" s="88"/>
      <c r="I263" s="88"/>
      <c r="J263" s="88"/>
      <c r="K263" s="88"/>
      <c r="L263" s="88"/>
      <c r="M263" s="88"/>
    </row>
    <row r="264">
      <c r="A264" s="133"/>
      <c r="B264" s="133"/>
      <c r="C264" s="133"/>
      <c r="D264" s="133"/>
      <c r="E264" s="133"/>
      <c r="F264" s="133"/>
      <c r="G264" s="88"/>
      <c r="H264" s="88"/>
      <c r="I264" s="88"/>
      <c r="J264" s="88"/>
      <c r="K264" s="88"/>
      <c r="L264" s="88"/>
      <c r="M264" s="88"/>
    </row>
    <row r="265">
      <c r="A265" s="133"/>
      <c r="B265" s="133"/>
      <c r="C265" s="133"/>
      <c r="D265" s="133"/>
      <c r="E265" s="133"/>
      <c r="F265" s="133"/>
      <c r="G265" s="88"/>
      <c r="H265" s="88"/>
      <c r="I265" s="88"/>
      <c r="J265" s="88"/>
      <c r="K265" s="88"/>
      <c r="L265" s="88"/>
      <c r="M265" s="88"/>
    </row>
    <row r="266">
      <c r="A266" s="133"/>
      <c r="B266" s="133"/>
      <c r="C266" s="133"/>
      <c r="D266" s="133"/>
      <c r="E266" s="133"/>
      <c r="F266" s="133"/>
      <c r="G266" s="88"/>
      <c r="H266" s="88"/>
      <c r="I266" s="88"/>
      <c r="J266" s="88"/>
      <c r="K266" s="88"/>
      <c r="L266" s="88"/>
      <c r="M266" s="88"/>
    </row>
    <row r="267">
      <c r="A267" s="133"/>
      <c r="B267" s="133"/>
      <c r="C267" s="133"/>
      <c r="D267" s="133"/>
      <c r="E267" s="133"/>
      <c r="F267" s="133"/>
      <c r="G267" s="88"/>
      <c r="H267" s="88"/>
      <c r="I267" s="88"/>
      <c r="J267" s="88"/>
      <c r="K267" s="88"/>
      <c r="L267" s="88"/>
      <c r="M267" s="88"/>
    </row>
    <row r="268">
      <c r="A268" s="133"/>
      <c r="B268" s="133"/>
      <c r="C268" s="133"/>
      <c r="D268" s="133"/>
      <c r="E268" s="133"/>
      <c r="F268" s="133"/>
      <c r="G268" s="88"/>
      <c r="H268" s="88"/>
      <c r="I268" s="88"/>
      <c r="J268" s="88"/>
      <c r="K268" s="88"/>
      <c r="L268" s="88"/>
      <c r="M268" s="88"/>
    </row>
    <row r="269">
      <c r="A269" s="133"/>
      <c r="B269" s="133"/>
      <c r="C269" s="133"/>
      <c r="D269" s="133"/>
      <c r="E269" s="133"/>
      <c r="F269" s="133"/>
      <c r="G269" s="88"/>
      <c r="H269" s="88"/>
      <c r="I269" s="88"/>
      <c r="J269" s="88"/>
      <c r="K269" s="88"/>
      <c r="L269" s="88"/>
      <c r="M269" s="88"/>
    </row>
    <row r="270">
      <c r="A270" s="133"/>
      <c r="B270" s="133"/>
      <c r="C270" s="133"/>
      <c r="D270" s="133"/>
      <c r="E270" s="133"/>
      <c r="F270" s="133"/>
      <c r="G270" s="88"/>
      <c r="H270" s="88"/>
      <c r="I270" s="88"/>
      <c r="J270" s="88"/>
      <c r="K270" s="88"/>
      <c r="L270" s="88"/>
      <c r="M270" s="88"/>
    </row>
    <row r="271">
      <c r="A271" s="133"/>
      <c r="B271" s="133"/>
      <c r="C271" s="133"/>
      <c r="D271" s="133"/>
      <c r="E271" s="133"/>
      <c r="F271" s="133"/>
      <c r="G271" s="88"/>
      <c r="H271" s="88"/>
      <c r="I271" s="88"/>
      <c r="J271" s="88"/>
      <c r="K271" s="88"/>
      <c r="L271" s="88"/>
      <c r="M271" s="88"/>
    </row>
    <row r="272">
      <c r="A272" s="133"/>
      <c r="B272" s="133"/>
      <c r="C272" s="133"/>
      <c r="D272" s="133"/>
      <c r="E272" s="133"/>
      <c r="F272" s="133"/>
      <c r="G272" s="88"/>
      <c r="H272" s="88"/>
      <c r="I272" s="88"/>
      <c r="J272" s="88"/>
      <c r="K272" s="88"/>
      <c r="L272" s="88"/>
      <c r="M272" s="88"/>
    </row>
    <row r="273">
      <c r="A273" s="133"/>
      <c r="B273" s="133"/>
      <c r="C273" s="133"/>
      <c r="D273" s="133"/>
      <c r="E273" s="133"/>
      <c r="F273" s="133"/>
      <c r="G273" s="88"/>
      <c r="H273" s="88"/>
      <c r="I273" s="88"/>
      <c r="J273" s="88"/>
      <c r="K273" s="88"/>
      <c r="L273" s="88"/>
      <c r="M273" s="88"/>
    </row>
    <row r="274">
      <c r="A274" s="133"/>
      <c r="B274" s="133"/>
      <c r="C274" s="133"/>
      <c r="D274" s="133"/>
      <c r="E274" s="133"/>
      <c r="F274" s="133"/>
      <c r="G274" s="88"/>
      <c r="H274" s="88"/>
      <c r="I274" s="88"/>
      <c r="J274" s="88"/>
      <c r="K274" s="88"/>
      <c r="L274" s="88"/>
      <c r="M274" s="88"/>
    </row>
    <row r="275">
      <c r="A275" s="133"/>
      <c r="B275" s="133"/>
      <c r="C275" s="133"/>
      <c r="D275" s="133"/>
      <c r="E275" s="133"/>
      <c r="F275" s="133"/>
      <c r="G275" s="88"/>
      <c r="H275" s="88"/>
      <c r="I275" s="88"/>
      <c r="J275" s="88"/>
      <c r="K275" s="88"/>
      <c r="L275" s="88"/>
      <c r="M275" s="88"/>
    </row>
    <row r="276">
      <c r="A276" s="133"/>
      <c r="B276" s="133"/>
      <c r="C276" s="133"/>
      <c r="D276" s="133"/>
      <c r="E276" s="133"/>
      <c r="F276" s="133"/>
      <c r="G276" s="88"/>
      <c r="H276" s="88"/>
      <c r="I276" s="88"/>
      <c r="J276" s="88"/>
      <c r="K276" s="88"/>
      <c r="L276" s="88"/>
      <c r="M276" s="88"/>
    </row>
    <row r="277">
      <c r="A277" s="133"/>
      <c r="B277" s="133"/>
      <c r="C277" s="133"/>
      <c r="D277" s="133"/>
      <c r="E277" s="133"/>
      <c r="F277" s="133"/>
      <c r="G277" s="88"/>
      <c r="H277" s="88"/>
      <c r="I277" s="88"/>
      <c r="J277" s="88"/>
      <c r="K277" s="88"/>
      <c r="L277" s="88"/>
      <c r="M277" s="88"/>
    </row>
    <row r="278">
      <c r="A278" s="133"/>
      <c r="B278" s="133"/>
      <c r="C278" s="133"/>
      <c r="D278" s="133"/>
      <c r="E278" s="133"/>
      <c r="F278" s="133"/>
      <c r="G278" s="88"/>
      <c r="H278" s="88"/>
      <c r="I278" s="88"/>
      <c r="J278" s="88"/>
      <c r="K278" s="88"/>
      <c r="L278" s="88"/>
      <c r="M278" s="88"/>
    </row>
    <row r="279">
      <c r="A279" s="133"/>
      <c r="B279" s="133"/>
      <c r="C279" s="133"/>
      <c r="D279" s="133"/>
      <c r="E279" s="133"/>
      <c r="F279" s="133"/>
      <c r="G279" s="88"/>
      <c r="H279" s="88"/>
      <c r="I279" s="88"/>
      <c r="J279" s="88"/>
      <c r="K279" s="88"/>
      <c r="L279" s="88"/>
      <c r="M279" s="88"/>
    </row>
    <row r="280">
      <c r="A280" s="133"/>
      <c r="B280" s="133"/>
      <c r="C280" s="133"/>
      <c r="D280" s="133"/>
      <c r="E280" s="133"/>
      <c r="F280" s="133"/>
      <c r="G280" s="88"/>
      <c r="H280" s="88"/>
      <c r="I280" s="88"/>
      <c r="J280" s="88"/>
      <c r="K280" s="88"/>
      <c r="L280" s="88"/>
      <c r="M280" s="88"/>
    </row>
    <row r="281">
      <c r="A281" s="133"/>
      <c r="B281" s="133"/>
      <c r="C281" s="133"/>
      <c r="D281" s="133"/>
      <c r="E281" s="133"/>
      <c r="F281" s="133"/>
      <c r="G281" s="88"/>
      <c r="H281" s="88"/>
      <c r="I281" s="88"/>
      <c r="J281" s="88"/>
      <c r="K281" s="88"/>
      <c r="L281" s="88"/>
      <c r="M281" s="88"/>
    </row>
    <row r="282">
      <c r="A282" s="133"/>
      <c r="B282" s="133"/>
      <c r="C282" s="133"/>
      <c r="D282" s="133"/>
      <c r="E282" s="133"/>
      <c r="F282" s="133"/>
      <c r="G282" s="88"/>
      <c r="H282" s="88"/>
      <c r="I282" s="88"/>
      <c r="J282" s="88"/>
      <c r="K282" s="88"/>
      <c r="L282" s="88"/>
      <c r="M282" s="88"/>
    </row>
    <row r="283">
      <c r="A283" s="133"/>
      <c r="B283" s="133"/>
      <c r="C283" s="133"/>
      <c r="D283" s="133"/>
      <c r="E283" s="133"/>
      <c r="F283" s="133"/>
      <c r="G283" s="88"/>
      <c r="H283" s="88"/>
      <c r="I283" s="88"/>
      <c r="J283" s="88"/>
      <c r="K283" s="88"/>
      <c r="L283" s="88"/>
      <c r="M283" s="88"/>
    </row>
    <row r="284">
      <c r="A284" s="133"/>
      <c r="B284" s="133"/>
      <c r="C284" s="133"/>
      <c r="D284" s="133"/>
      <c r="E284" s="133"/>
      <c r="F284" s="133"/>
      <c r="G284" s="88"/>
      <c r="H284" s="88"/>
      <c r="I284" s="88"/>
      <c r="J284" s="88"/>
      <c r="K284" s="88"/>
      <c r="L284" s="88"/>
      <c r="M284" s="88"/>
    </row>
    <row r="285">
      <c r="A285" s="133"/>
      <c r="B285" s="133"/>
      <c r="C285" s="133"/>
      <c r="D285" s="133"/>
      <c r="E285" s="133"/>
      <c r="F285" s="133"/>
      <c r="G285" s="88"/>
      <c r="H285" s="88"/>
      <c r="I285" s="88"/>
      <c r="J285" s="88"/>
      <c r="K285" s="88"/>
      <c r="L285" s="88"/>
      <c r="M285" s="88"/>
    </row>
    <row r="286">
      <c r="A286" s="133"/>
      <c r="B286" s="133"/>
      <c r="C286" s="133"/>
      <c r="D286" s="133"/>
      <c r="E286" s="133"/>
      <c r="F286" s="133"/>
      <c r="G286" s="88"/>
      <c r="H286" s="88"/>
      <c r="I286" s="88"/>
      <c r="J286" s="88"/>
      <c r="K286" s="88"/>
      <c r="L286" s="88"/>
      <c r="M286" s="88"/>
    </row>
    <row r="287">
      <c r="A287" s="133"/>
      <c r="B287" s="133"/>
      <c r="C287" s="133"/>
      <c r="D287" s="133"/>
      <c r="E287" s="133"/>
      <c r="F287" s="133"/>
      <c r="G287" s="88"/>
      <c r="H287" s="88"/>
      <c r="I287" s="88"/>
      <c r="J287" s="88"/>
      <c r="K287" s="88"/>
      <c r="L287" s="88"/>
      <c r="M287" s="88"/>
    </row>
    <row r="288">
      <c r="A288" s="133"/>
      <c r="B288" s="133"/>
      <c r="C288" s="133"/>
      <c r="D288" s="133"/>
      <c r="E288" s="133"/>
      <c r="F288" s="133"/>
      <c r="G288" s="88"/>
      <c r="H288" s="88"/>
      <c r="I288" s="88"/>
      <c r="J288" s="88"/>
      <c r="K288" s="88"/>
      <c r="L288" s="88"/>
      <c r="M288" s="88"/>
    </row>
    <row r="289">
      <c r="A289" s="133"/>
      <c r="B289" s="133"/>
      <c r="C289" s="133"/>
      <c r="D289" s="133"/>
      <c r="E289" s="133"/>
      <c r="F289" s="133"/>
      <c r="G289" s="88"/>
      <c r="H289" s="88"/>
      <c r="I289" s="88"/>
      <c r="J289" s="88"/>
      <c r="K289" s="88"/>
      <c r="L289" s="88"/>
      <c r="M289" s="88"/>
    </row>
    <row r="290">
      <c r="A290" s="133"/>
      <c r="B290" s="133"/>
      <c r="C290" s="133"/>
      <c r="D290" s="133"/>
      <c r="E290" s="133"/>
      <c r="F290" s="133"/>
      <c r="G290" s="88"/>
      <c r="H290" s="88"/>
      <c r="I290" s="88"/>
      <c r="J290" s="88"/>
      <c r="K290" s="88"/>
      <c r="L290" s="88"/>
      <c r="M290" s="88"/>
    </row>
    <row r="291">
      <c r="A291" s="133"/>
      <c r="B291" s="133"/>
      <c r="C291" s="133"/>
      <c r="D291" s="133"/>
      <c r="E291" s="133"/>
      <c r="F291" s="133"/>
      <c r="G291" s="88"/>
      <c r="H291" s="88"/>
      <c r="I291" s="88"/>
      <c r="J291" s="88"/>
      <c r="K291" s="88"/>
      <c r="L291" s="88"/>
      <c r="M291" s="88"/>
    </row>
    <row r="292">
      <c r="A292" s="133"/>
      <c r="B292" s="133"/>
      <c r="C292" s="133"/>
      <c r="D292" s="133"/>
      <c r="E292" s="133"/>
      <c r="F292" s="133"/>
      <c r="G292" s="88"/>
      <c r="H292" s="88"/>
      <c r="I292" s="88"/>
      <c r="J292" s="88"/>
      <c r="K292" s="88"/>
      <c r="L292" s="88"/>
      <c r="M292" s="88"/>
    </row>
    <row r="293">
      <c r="A293" s="133"/>
      <c r="B293" s="133"/>
      <c r="C293" s="133"/>
      <c r="D293" s="133"/>
      <c r="E293" s="133"/>
      <c r="F293" s="133"/>
      <c r="G293" s="88"/>
      <c r="H293" s="88"/>
      <c r="I293" s="88"/>
      <c r="J293" s="88"/>
      <c r="K293" s="88"/>
      <c r="L293" s="88"/>
      <c r="M293" s="88"/>
    </row>
    <row r="294">
      <c r="A294" s="133"/>
      <c r="B294" s="133"/>
      <c r="C294" s="133"/>
      <c r="D294" s="133"/>
      <c r="E294" s="133"/>
      <c r="F294" s="133"/>
      <c r="G294" s="88"/>
      <c r="H294" s="88"/>
      <c r="I294" s="88"/>
      <c r="J294" s="88"/>
      <c r="K294" s="88"/>
      <c r="L294" s="88"/>
      <c r="M294" s="88"/>
    </row>
    <row r="295">
      <c r="A295" s="133"/>
      <c r="B295" s="133"/>
      <c r="C295" s="133"/>
      <c r="D295" s="133"/>
      <c r="E295" s="133"/>
      <c r="F295" s="133"/>
      <c r="G295" s="88"/>
      <c r="H295" s="88"/>
      <c r="I295" s="88"/>
      <c r="J295" s="88"/>
      <c r="K295" s="88"/>
      <c r="L295" s="88"/>
      <c r="M295" s="88"/>
    </row>
    <row r="296">
      <c r="A296" s="133"/>
      <c r="B296" s="133"/>
      <c r="C296" s="133"/>
      <c r="D296" s="133"/>
      <c r="E296" s="133"/>
      <c r="F296" s="133"/>
      <c r="G296" s="88"/>
      <c r="H296" s="88"/>
      <c r="I296" s="88"/>
      <c r="J296" s="88"/>
      <c r="K296" s="88"/>
      <c r="L296" s="88"/>
      <c r="M296" s="88"/>
    </row>
    <row r="297">
      <c r="A297" s="133"/>
      <c r="B297" s="133"/>
      <c r="C297" s="133"/>
      <c r="D297" s="133"/>
      <c r="E297" s="133"/>
      <c r="F297" s="133"/>
      <c r="G297" s="88"/>
      <c r="H297" s="88"/>
      <c r="I297" s="88"/>
      <c r="J297" s="88"/>
      <c r="K297" s="88"/>
      <c r="L297" s="88"/>
      <c r="M297" s="88"/>
    </row>
    <row r="298">
      <c r="A298" s="133"/>
      <c r="B298" s="133"/>
      <c r="C298" s="133"/>
      <c r="D298" s="133"/>
      <c r="E298" s="133"/>
      <c r="F298" s="133"/>
      <c r="G298" s="88"/>
      <c r="H298" s="88"/>
      <c r="I298" s="88"/>
      <c r="J298" s="88"/>
      <c r="K298" s="88"/>
      <c r="L298" s="88"/>
      <c r="M298" s="88"/>
    </row>
    <row r="299">
      <c r="A299" s="133"/>
      <c r="B299" s="133"/>
      <c r="C299" s="133"/>
      <c r="D299" s="133"/>
      <c r="E299" s="133"/>
      <c r="F299" s="133"/>
      <c r="G299" s="88"/>
      <c r="H299" s="88"/>
      <c r="I299" s="88"/>
      <c r="J299" s="88"/>
      <c r="K299" s="88"/>
      <c r="L299" s="88"/>
      <c r="M299" s="88"/>
    </row>
    <row r="300">
      <c r="A300" s="133"/>
      <c r="B300" s="133"/>
      <c r="C300" s="133"/>
      <c r="D300" s="133"/>
      <c r="E300" s="133"/>
      <c r="F300" s="133"/>
      <c r="G300" s="88"/>
      <c r="H300" s="88"/>
      <c r="I300" s="88"/>
      <c r="J300" s="88"/>
      <c r="K300" s="88"/>
      <c r="L300" s="88"/>
      <c r="M300" s="88"/>
    </row>
    <row r="301">
      <c r="A301" s="133"/>
      <c r="B301" s="133"/>
      <c r="C301" s="133"/>
      <c r="D301" s="133"/>
      <c r="E301" s="133"/>
      <c r="F301" s="133"/>
      <c r="G301" s="88"/>
      <c r="H301" s="88"/>
      <c r="I301" s="88"/>
      <c r="J301" s="88"/>
      <c r="K301" s="88"/>
      <c r="L301" s="88"/>
      <c r="M301" s="88"/>
    </row>
    <row r="302">
      <c r="A302" s="133"/>
      <c r="B302" s="133"/>
      <c r="C302" s="133"/>
      <c r="D302" s="133"/>
      <c r="E302" s="133"/>
      <c r="F302" s="133"/>
      <c r="G302" s="88"/>
      <c r="H302" s="88"/>
      <c r="I302" s="88"/>
      <c r="J302" s="88"/>
      <c r="K302" s="88"/>
      <c r="L302" s="88"/>
      <c r="M302" s="88"/>
    </row>
    <row r="303">
      <c r="A303" s="133"/>
      <c r="B303" s="133"/>
      <c r="C303" s="133"/>
      <c r="D303" s="133"/>
      <c r="E303" s="133"/>
      <c r="F303" s="133"/>
      <c r="G303" s="88"/>
      <c r="H303" s="88"/>
      <c r="I303" s="88"/>
      <c r="J303" s="88"/>
      <c r="K303" s="88"/>
      <c r="L303" s="88"/>
      <c r="M303" s="88"/>
    </row>
    <row r="304">
      <c r="A304" s="133"/>
      <c r="B304" s="133"/>
      <c r="C304" s="133"/>
      <c r="D304" s="133"/>
      <c r="E304" s="133"/>
      <c r="F304" s="133"/>
      <c r="G304" s="88"/>
      <c r="H304" s="88"/>
      <c r="I304" s="88"/>
      <c r="J304" s="88"/>
      <c r="K304" s="88"/>
      <c r="L304" s="88"/>
      <c r="M304" s="88"/>
    </row>
    <row r="305">
      <c r="A305" s="133"/>
      <c r="B305" s="133"/>
      <c r="C305" s="133"/>
      <c r="D305" s="133"/>
      <c r="E305" s="133"/>
      <c r="F305" s="133"/>
      <c r="G305" s="88"/>
      <c r="H305" s="88"/>
      <c r="I305" s="88"/>
      <c r="J305" s="88"/>
      <c r="K305" s="88"/>
      <c r="L305" s="88"/>
      <c r="M305" s="88"/>
    </row>
    <row r="306">
      <c r="A306" s="133"/>
      <c r="B306" s="133"/>
      <c r="C306" s="133"/>
      <c r="D306" s="133"/>
      <c r="E306" s="133"/>
      <c r="F306" s="133"/>
      <c r="G306" s="88"/>
      <c r="H306" s="88"/>
      <c r="I306" s="88"/>
      <c r="J306" s="88"/>
      <c r="K306" s="88"/>
      <c r="L306" s="88"/>
      <c r="M306" s="88"/>
    </row>
    <row r="307">
      <c r="A307" s="133"/>
      <c r="B307" s="133"/>
      <c r="C307" s="133"/>
      <c r="D307" s="133"/>
      <c r="E307" s="133"/>
      <c r="F307" s="133"/>
      <c r="G307" s="88"/>
      <c r="H307" s="88"/>
      <c r="I307" s="88"/>
      <c r="J307" s="88"/>
      <c r="K307" s="88"/>
      <c r="L307" s="88"/>
      <c r="M307" s="88"/>
    </row>
    <row r="308">
      <c r="A308" s="133"/>
      <c r="B308" s="133"/>
      <c r="C308" s="133"/>
      <c r="D308" s="133"/>
      <c r="E308" s="133"/>
      <c r="F308" s="133"/>
      <c r="G308" s="88"/>
      <c r="H308" s="88"/>
      <c r="I308" s="88"/>
      <c r="J308" s="88"/>
      <c r="K308" s="88"/>
      <c r="L308" s="88"/>
      <c r="M308" s="88"/>
    </row>
    <row r="309">
      <c r="A309" s="133"/>
      <c r="B309" s="133"/>
      <c r="C309" s="133"/>
      <c r="D309" s="133"/>
      <c r="E309" s="133"/>
      <c r="F309" s="133"/>
      <c r="G309" s="88"/>
      <c r="H309" s="88"/>
      <c r="I309" s="88"/>
      <c r="J309" s="88"/>
      <c r="K309" s="88"/>
      <c r="L309" s="88"/>
      <c r="M309" s="88"/>
    </row>
    <row r="310">
      <c r="A310" s="133"/>
      <c r="B310" s="133"/>
      <c r="C310" s="133"/>
      <c r="D310" s="133"/>
      <c r="E310" s="133"/>
      <c r="F310" s="133"/>
      <c r="G310" s="88"/>
      <c r="H310" s="88"/>
      <c r="I310" s="88"/>
      <c r="J310" s="88"/>
      <c r="K310" s="88"/>
      <c r="L310" s="88"/>
      <c r="M310" s="88"/>
    </row>
    <row r="311">
      <c r="A311" s="133"/>
      <c r="B311" s="133"/>
      <c r="C311" s="133"/>
      <c r="D311" s="133"/>
      <c r="E311" s="133"/>
      <c r="F311" s="133"/>
      <c r="G311" s="88"/>
      <c r="H311" s="88"/>
      <c r="I311" s="88"/>
      <c r="J311" s="88"/>
      <c r="K311" s="88"/>
      <c r="L311" s="88"/>
      <c r="M311" s="88"/>
    </row>
    <row r="312">
      <c r="A312" s="133"/>
      <c r="B312" s="133"/>
      <c r="C312" s="133"/>
      <c r="D312" s="133"/>
      <c r="E312" s="133"/>
      <c r="F312" s="133"/>
      <c r="G312" s="88"/>
      <c r="H312" s="88"/>
      <c r="I312" s="88"/>
      <c r="J312" s="88"/>
      <c r="K312" s="88"/>
      <c r="L312" s="88"/>
      <c r="M312" s="88"/>
    </row>
    <row r="313">
      <c r="A313" s="133"/>
      <c r="B313" s="133"/>
      <c r="C313" s="133"/>
      <c r="D313" s="133"/>
      <c r="E313" s="133"/>
      <c r="F313" s="133"/>
      <c r="G313" s="88"/>
      <c r="H313" s="88"/>
      <c r="I313" s="88"/>
      <c r="J313" s="88"/>
      <c r="K313" s="88"/>
      <c r="L313" s="88"/>
      <c r="M313" s="88"/>
    </row>
    <row r="314">
      <c r="A314" s="133"/>
      <c r="B314" s="133"/>
      <c r="C314" s="133"/>
      <c r="D314" s="133"/>
      <c r="E314" s="133"/>
      <c r="F314" s="133"/>
      <c r="G314" s="88"/>
      <c r="H314" s="88"/>
      <c r="I314" s="88"/>
      <c r="J314" s="88"/>
      <c r="K314" s="88"/>
      <c r="L314" s="88"/>
      <c r="M314" s="88"/>
    </row>
    <row r="315">
      <c r="A315" s="133"/>
      <c r="B315" s="133"/>
      <c r="C315" s="133"/>
      <c r="D315" s="133"/>
      <c r="E315" s="133"/>
      <c r="F315" s="133"/>
      <c r="G315" s="88"/>
      <c r="H315" s="88"/>
      <c r="I315" s="88"/>
      <c r="J315" s="88"/>
      <c r="K315" s="88"/>
      <c r="L315" s="88"/>
      <c r="M315" s="88"/>
    </row>
    <row r="316">
      <c r="A316" s="133"/>
      <c r="B316" s="133"/>
      <c r="C316" s="133"/>
      <c r="D316" s="133"/>
      <c r="E316" s="133"/>
      <c r="F316" s="133"/>
      <c r="G316" s="88"/>
      <c r="H316" s="88"/>
      <c r="I316" s="88"/>
      <c r="J316" s="88"/>
      <c r="K316" s="88"/>
      <c r="L316" s="88"/>
      <c r="M316" s="88"/>
    </row>
    <row r="317">
      <c r="A317" s="133"/>
      <c r="B317" s="133"/>
      <c r="C317" s="133"/>
      <c r="D317" s="133"/>
      <c r="E317" s="133"/>
      <c r="F317" s="133"/>
      <c r="G317" s="88"/>
      <c r="H317" s="88"/>
      <c r="I317" s="88"/>
      <c r="J317" s="88"/>
      <c r="K317" s="88"/>
      <c r="L317" s="88"/>
      <c r="M317" s="88"/>
    </row>
    <row r="318">
      <c r="A318" s="133"/>
      <c r="B318" s="133"/>
      <c r="C318" s="133"/>
      <c r="D318" s="133"/>
      <c r="E318" s="133"/>
      <c r="F318" s="133"/>
      <c r="G318" s="88"/>
      <c r="H318" s="88"/>
      <c r="I318" s="88"/>
      <c r="J318" s="88"/>
      <c r="K318" s="88"/>
      <c r="L318" s="88"/>
      <c r="M318" s="88"/>
    </row>
    <row r="319">
      <c r="A319" s="133"/>
      <c r="B319" s="133"/>
      <c r="C319" s="133"/>
      <c r="D319" s="133"/>
      <c r="E319" s="133"/>
      <c r="F319" s="133"/>
      <c r="G319" s="88"/>
      <c r="H319" s="88"/>
      <c r="I319" s="88"/>
      <c r="J319" s="88"/>
      <c r="K319" s="88"/>
      <c r="L319" s="88"/>
      <c r="M319" s="88"/>
    </row>
    <row r="320">
      <c r="A320" s="133"/>
      <c r="B320" s="133"/>
      <c r="C320" s="133"/>
      <c r="D320" s="133"/>
      <c r="E320" s="133"/>
      <c r="F320" s="133"/>
      <c r="G320" s="88"/>
      <c r="H320" s="88"/>
      <c r="I320" s="88"/>
      <c r="J320" s="88"/>
      <c r="K320" s="88"/>
      <c r="L320" s="88"/>
      <c r="M320" s="88"/>
    </row>
    <row r="321">
      <c r="A321" s="133"/>
      <c r="B321" s="133"/>
      <c r="C321" s="133"/>
      <c r="D321" s="133"/>
      <c r="E321" s="133"/>
      <c r="F321" s="133"/>
      <c r="G321" s="88"/>
      <c r="H321" s="88"/>
      <c r="I321" s="88"/>
      <c r="J321" s="88"/>
      <c r="K321" s="88"/>
      <c r="L321" s="88"/>
      <c r="M321" s="88"/>
    </row>
    <row r="322">
      <c r="A322" s="133"/>
      <c r="B322" s="133"/>
      <c r="C322" s="133"/>
      <c r="D322" s="133"/>
      <c r="E322" s="133"/>
      <c r="F322" s="133"/>
      <c r="G322" s="88"/>
      <c r="H322" s="88"/>
      <c r="I322" s="88"/>
      <c r="J322" s="88"/>
      <c r="K322" s="88"/>
      <c r="L322" s="88"/>
      <c r="M322" s="88"/>
    </row>
    <row r="323">
      <c r="A323" s="133"/>
      <c r="B323" s="133"/>
      <c r="C323" s="133"/>
      <c r="D323" s="133"/>
      <c r="E323" s="133"/>
      <c r="F323" s="133"/>
      <c r="G323" s="88"/>
      <c r="H323" s="88"/>
      <c r="I323" s="88"/>
      <c r="J323" s="88"/>
      <c r="K323" s="88"/>
      <c r="L323" s="88"/>
      <c r="M323" s="88"/>
    </row>
    <row r="324">
      <c r="A324" s="133"/>
      <c r="B324" s="133"/>
      <c r="C324" s="133"/>
      <c r="D324" s="133"/>
      <c r="E324" s="133"/>
      <c r="F324" s="133"/>
      <c r="G324" s="88"/>
      <c r="H324" s="88"/>
      <c r="I324" s="88"/>
      <c r="J324" s="88"/>
      <c r="K324" s="88"/>
      <c r="L324" s="88"/>
      <c r="M324" s="88"/>
    </row>
    <row r="325">
      <c r="A325" s="133"/>
      <c r="B325" s="133"/>
      <c r="C325" s="133"/>
      <c r="D325" s="133"/>
      <c r="E325" s="133"/>
      <c r="F325" s="133"/>
      <c r="G325" s="88"/>
      <c r="H325" s="88"/>
      <c r="I325" s="88"/>
      <c r="J325" s="88"/>
      <c r="K325" s="88"/>
      <c r="L325" s="88"/>
      <c r="M325" s="88"/>
    </row>
    <row r="326">
      <c r="A326" s="133"/>
      <c r="B326" s="133"/>
      <c r="C326" s="133"/>
      <c r="D326" s="133"/>
      <c r="E326" s="133"/>
      <c r="F326" s="133"/>
      <c r="G326" s="88"/>
      <c r="H326" s="88"/>
      <c r="I326" s="88"/>
      <c r="J326" s="88"/>
      <c r="K326" s="88"/>
      <c r="L326" s="88"/>
      <c r="M326" s="88"/>
    </row>
    <row r="327">
      <c r="A327" s="133"/>
      <c r="B327" s="133"/>
      <c r="C327" s="133"/>
      <c r="D327" s="133"/>
      <c r="E327" s="133"/>
      <c r="F327" s="133"/>
      <c r="G327" s="88"/>
      <c r="H327" s="88"/>
      <c r="I327" s="88"/>
      <c r="J327" s="88"/>
      <c r="K327" s="88"/>
      <c r="L327" s="88"/>
      <c r="M327" s="88"/>
    </row>
    <row r="328">
      <c r="A328" s="133"/>
      <c r="B328" s="133"/>
      <c r="C328" s="133"/>
      <c r="D328" s="133"/>
      <c r="E328" s="133"/>
      <c r="F328" s="133"/>
      <c r="G328" s="88"/>
      <c r="H328" s="88"/>
      <c r="I328" s="88"/>
      <c r="J328" s="88"/>
      <c r="K328" s="88"/>
      <c r="L328" s="88"/>
      <c r="M328" s="88"/>
    </row>
    <row r="329">
      <c r="A329" s="133"/>
      <c r="B329" s="133"/>
      <c r="C329" s="133"/>
      <c r="D329" s="133"/>
      <c r="E329" s="133"/>
      <c r="F329" s="133"/>
      <c r="G329" s="88"/>
      <c r="H329" s="88"/>
      <c r="I329" s="88"/>
      <c r="J329" s="88"/>
      <c r="K329" s="88"/>
      <c r="L329" s="88"/>
      <c r="M329" s="88"/>
    </row>
    <row r="330">
      <c r="A330" s="133"/>
      <c r="B330" s="133"/>
      <c r="C330" s="133"/>
      <c r="D330" s="133"/>
      <c r="E330" s="133"/>
      <c r="F330" s="133"/>
      <c r="G330" s="88"/>
      <c r="H330" s="88"/>
      <c r="I330" s="88"/>
      <c r="J330" s="88"/>
      <c r="K330" s="88"/>
      <c r="L330" s="88"/>
      <c r="M330" s="88"/>
    </row>
    <row r="331">
      <c r="A331" s="133"/>
      <c r="B331" s="133"/>
      <c r="C331" s="133"/>
      <c r="D331" s="133"/>
      <c r="E331" s="133"/>
      <c r="F331" s="133"/>
      <c r="G331" s="88"/>
      <c r="H331" s="88"/>
      <c r="I331" s="88"/>
      <c r="J331" s="88"/>
      <c r="K331" s="88"/>
      <c r="L331" s="88"/>
      <c r="M331" s="88"/>
    </row>
    <row r="332">
      <c r="A332" s="133"/>
      <c r="B332" s="133"/>
      <c r="C332" s="133"/>
      <c r="D332" s="133"/>
      <c r="E332" s="133"/>
      <c r="F332" s="133"/>
      <c r="G332" s="88"/>
      <c r="H332" s="88"/>
      <c r="I332" s="88"/>
      <c r="J332" s="88"/>
      <c r="K332" s="88"/>
      <c r="L332" s="88"/>
      <c r="M332" s="88"/>
    </row>
    <row r="333">
      <c r="A333" s="133"/>
      <c r="B333" s="133"/>
      <c r="C333" s="133"/>
      <c r="D333" s="133"/>
      <c r="E333" s="133"/>
      <c r="F333" s="133"/>
      <c r="G333" s="88"/>
      <c r="H333" s="88"/>
      <c r="I333" s="88"/>
      <c r="J333" s="88"/>
      <c r="K333" s="88"/>
      <c r="L333" s="88"/>
      <c r="M333" s="88"/>
    </row>
    <row r="334">
      <c r="A334" s="133"/>
      <c r="B334" s="133"/>
      <c r="C334" s="133"/>
      <c r="D334" s="133"/>
      <c r="E334" s="133"/>
      <c r="F334" s="133"/>
      <c r="G334" s="88"/>
      <c r="H334" s="88"/>
      <c r="I334" s="88"/>
      <c r="J334" s="88"/>
      <c r="K334" s="88"/>
      <c r="L334" s="88"/>
      <c r="M334" s="88"/>
    </row>
    <row r="335">
      <c r="A335" s="133"/>
      <c r="B335" s="133"/>
      <c r="C335" s="133"/>
      <c r="D335" s="133"/>
      <c r="E335" s="133"/>
      <c r="F335" s="133"/>
      <c r="G335" s="88"/>
      <c r="H335" s="88"/>
      <c r="I335" s="88"/>
      <c r="J335" s="88"/>
      <c r="K335" s="88"/>
      <c r="L335" s="88"/>
      <c r="M335" s="88"/>
    </row>
    <row r="336">
      <c r="A336" s="133"/>
      <c r="B336" s="133"/>
      <c r="C336" s="133"/>
      <c r="D336" s="133"/>
      <c r="E336" s="133"/>
      <c r="F336" s="133"/>
      <c r="G336" s="88"/>
      <c r="H336" s="88"/>
      <c r="I336" s="88"/>
      <c r="J336" s="88"/>
      <c r="K336" s="88"/>
      <c r="L336" s="88"/>
      <c r="M336" s="88"/>
    </row>
    <row r="337">
      <c r="A337" s="133"/>
      <c r="B337" s="133"/>
      <c r="C337" s="133"/>
      <c r="D337" s="133"/>
      <c r="E337" s="133"/>
      <c r="F337" s="133"/>
      <c r="G337" s="88"/>
      <c r="H337" s="88"/>
      <c r="I337" s="88"/>
      <c r="J337" s="88"/>
      <c r="K337" s="88"/>
      <c r="L337" s="88"/>
      <c r="M337" s="88"/>
    </row>
    <row r="338">
      <c r="A338" s="133"/>
      <c r="B338" s="133"/>
      <c r="C338" s="133"/>
      <c r="D338" s="133"/>
      <c r="E338" s="133"/>
      <c r="F338" s="133"/>
      <c r="G338" s="88"/>
      <c r="H338" s="88"/>
      <c r="I338" s="88"/>
      <c r="J338" s="88"/>
      <c r="K338" s="88"/>
      <c r="L338" s="88"/>
      <c r="M338" s="88"/>
    </row>
    <row r="339">
      <c r="A339" s="133"/>
      <c r="B339" s="133"/>
      <c r="C339" s="133"/>
      <c r="D339" s="133"/>
      <c r="E339" s="133"/>
      <c r="F339" s="133"/>
      <c r="G339" s="88"/>
      <c r="H339" s="88"/>
      <c r="I339" s="88"/>
      <c r="J339" s="88"/>
      <c r="K339" s="88"/>
      <c r="L339" s="88"/>
      <c r="M339" s="88"/>
    </row>
    <row r="340">
      <c r="A340" s="133"/>
      <c r="B340" s="133"/>
      <c r="C340" s="133"/>
      <c r="D340" s="133"/>
      <c r="E340" s="133"/>
      <c r="F340" s="133"/>
      <c r="G340" s="88"/>
      <c r="H340" s="88"/>
      <c r="I340" s="88"/>
      <c r="J340" s="88"/>
      <c r="K340" s="88"/>
      <c r="L340" s="88"/>
      <c r="M340" s="88"/>
    </row>
    <row r="341">
      <c r="A341" s="133"/>
      <c r="B341" s="133"/>
      <c r="C341" s="133"/>
      <c r="D341" s="133"/>
      <c r="E341" s="133"/>
      <c r="F341" s="133"/>
      <c r="G341" s="88"/>
      <c r="H341" s="88"/>
      <c r="I341" s="88"/>
      <c r="J341" s="88"/>
      <c r="K341" s="88"/>
      <c r="L341" s="88"/>
      <c r="M341" s="88"/>
    </row>
    <row r="342">
      <c r="A342" s="133"/>
      <c r="B342" s="133"/>
      <c r="C342" s="133"/>
      <c r="D342" s="133"/>
      <c r="E342" s="133"/>
      <c r="F342" s="133"/>
      <c r="G342" s="88"/>
      <c r="H342" s="88"/>
      <c r="I342" s="88"/>
      <c r="J342" s="88"/>
      <c r="K342" s="88"/>
      <c r="L342" s="88"/>
      <c r="M342" s="88"/>
    </row>
    <row r="343">
      <c r="A343" s="133"/>
      <c r="B343" s="133"/>
      <c r="C343" s="133"/>
      <c r="D343" s="133"/>
      <c r="E343" s="133"/>
      <c r="F343" s="133"/>
      <c r="G343" s="88"/>
      <c r="H343" s="88"/>
      <c r="I343" s="88"/>
      <c r="J343" s="88"/>
      <c r="K343" s="88"/>
      <c r="L343" s="88"/>
      <c r="M343" s="88"/>
    </row>
    <row r="344">
      <c r="A344" s="133"/>
      <c r="B344" s="133"/>
      <c r="C344" s="133"/>
      <c r="D344" s="133"/>
      <c r="E344" s="133"/>
      <c r="F344" s="133"/>
      <c r="G344" s="88"/>
      <c r="H344" s="88"/>
      <c r="I344" s="88"/>
      <c r="J344" s="88"/>
      <c r="K344" s="88"/>
      <c r="L344" s="88"/>
      <c r="M344" s="88"/>
    </row>
    <row r="345">
      <c r="A345" s="133"/>
      <c r="B345" s="133"/>
      <c r="C345" s="133"/>
      <c r="D345" s="133"/>
      <c r="E345" s="133"/>
      <c r="F345" s="133"/>
      <c r="G345" s="88"/>
      <c r="H345" s="88"/>
      <c r="I345" s="88"/>
      <c r="J345" s="88"/>
      <c r="K345" s="88"/>
      <c r="L345" s="88"/>
      <c r="M345" s="88"/>
    </row>
    <row r="346">
      <c r="A346" s="133"/>
      <c r="B346" s="133"/>
      <c r="C346" s="133"/>
      <c r="D346" s="133"/>
      <c r="E346" s="133"/>
      <c r="F346" s="133"/>
      <c r="G346" s="88"/>
      <c r="H346" s="88"/>
      <c r="I346" s="88"/>
      <c r="J346" s="88"/>
      <c r="K346" s="88"/>
      <c r="L346" s="88"/>
      <c r="M346" s="88"/>
    </row>
    <row r="347">
      <c r="A347" s="133"/>
      <c r="B347" s="133"/>
      <c r="C347" s="133"/>
      <c r="D347" s="133"/>
      <c r="E347" s="133"/>
      <c r="F347" s="133"/>
      <c r="G347" s="88"/>
      <c r="H347" s="88"/>
      <c r="I347" s="88"/>
      <c r="J347" s="88"/>
      <c r="K347" s="88"/>
      <c r="L347" s="88"/>
      <c r="M347" s="88"/>
    </row>
    <row r="348">
      <c r="A348" s="133"/>
      <c r="B348" s="133"/>
      <c r="C348" s="133"/>
      <c r="D348" s="133"/>
      <c r="E348" s="133"/>
      <c r="F348" s="133"/>
      <c r="G348" s="88"/>
      <c r="H348" s="88"/>
      <c r="I348" s="88"/>
      <c r="J348" s="88"/>
      <c r="K348" s="88"/>
      <c r="L348" s="88"/>
      <c r="M348" s="88"/>
    </row>
    <row r="349">
      <c r="A349" s="133"/>
      <c r="B349" s="133"/>
      <c r="C349" s="133"/>
      <c r="D349" s="133"/>
      <c r="E349" s="133"/>
      <c r="F349" s="133"/>
      <c r="G349" s="88"/>
      <c r="H349" s="88"/>
      <c r="I349" s="88"/>
      <c r="J349" s="88"/>
      <c r="K349" s="88"/>
      <c r="L349" s="88"/>
      <c r="M349" s="88"/>
    </row>
    <row r="350">
      <c r="A350" s="133"/>
      <c r="B350" s="133"/>
      <c r="C350" s="133"/>
      <c r="D350" s="133"/>
      <c r="E350" s="133"/>
      <c r="F350" s="133"/>
      <c r="G350" s="88"/>
      <c r="H350" s="88"/>
      <c r="I350" s="88"/>
      <c r="J350" s="88"/>
      <c r="K350" s="88"/>
      <c r="L350" s="88"/>
      <c r="M350" s="88"/>
    </row>
    <row r="351">
      <c r="A351" s="133"/>
      <c r="B351" s="133"/>
      <c r="C351" s="133"/>
      <c r="D351" s="133"/>
      <c r="E351" s="133"/>
      <c r="F351" s="133"/>
      <c r="G351" s="88"/>
      <c r="H351" s="88"/>
      <c r="I351" s="88"/>
      <c r="J351" s="88"/>
      <c r="K351" s="88"/>
      <c r="L351" s="88"/>
      <c r="M351" s="88"/>
    </row>
    <row r="352">
      <c r="A352" s="133"/>
      <c r="B352" s="133"/>
      <c r="C352" s="133"/>
      <c r="D352" s="133"/>
      <c r="E352" s="133"/>
      <c r="F352" s="133"/>
      <c r="G352" s="88"/>
      <c r="H352" s="88"/>
      <c r="I352" s="88"/>
      <c r="J352" s="88"/>
      <c r="K352" s="88"/>
      <c r="L352" s="88"/>
      <c r="M352" s="88"/>
    </row>
    <row r="353">
      <c r="A353" s="133"/>
      <c r="B353" s="133"/>
      <c r="C353" s="133"/>
      <c r="D353" s="133"/>
      <c r="E353" s="133"/>
      <c r="F353" s="133"/>
      <c r="G353" s="88"/>
      <c r="H353" s="88"/>
      <c r="I353" s="88"/>
      <c r="J353" s="88"/>
      <c r="K353" s="88"/>
      <c r="L353" s="88"/>
      <c r="M353" s="88"/>
    </row>
    <row r="354">
      <c r="A354" s="133"/>
      <c r="B354" s="133"/>
      <c r="C354" s="133"/>
      <c r="D354" s="133"/>
      <c r="E354" s="133"/>
      <c r="F354" s="133"/>
      <c r="G354" s="88"/>
      <c r="H354" s="88"/>
      <c r="I354" s="88"/>
      <c r="J354" s="88"/>
      <c r="K354" s="88"/>
      <c r="L354" s="88"/>
      <c r="M354" s="88"/>
    </row>
    <row r="355">
      <c r="A355" s="133"/>
      <c r="B355" s="133"/>
      <c r="C355" s="133"/>
      <c r="D355" s="133"/>
      <c r="E355" s="133"/>
      <c r="F355" s="133"/>
      <c r="G355" s="88"/>
      <c r="H355" s="88"/>
      <c r="I355" s="88"/>
      <c r="J355" s="88"/>
      <c r="K355" s="88"/>
      <c r="L355" s="88"/>
      <c r="M355" s="88"/>
    </row>
    <row r="356">
      <c r="A356" s="133"/>
      <c r="B356" s="133"/>
      <c r="C356" s="133"/>
      <c r="D356" s="133"/>
      <c r="E356" s="133"/>
      <c r="F356" s="133"/>
      <c r="G356" s="88"/>
      <c r="H356" s="88"/>
      <c r="I356" s="88"/>
      <c r="J356" s="88"/>
      <c r="K356" s="88"/>
      <c r="L356" s="88"/>
      <c r="M356" s="88"/>
    </row>
    <row r="357">
      <c r="A357" s="133"/>
      <c r="B357" s="133"/>
      <c r="C357" s="133"/>
      <c r="D357" s="133"/>
      <c r="E357" s="133"/>
      <c r="F357" s="133"/>
      <c r="G357" s="88"/>
      <c r="H357" s="88"/>
      <c r="I357" s="88"/>
      <c r="J357" s="88"/>
      <c r="K357" s="88"/>
      <c r="L357" s="88"/>
      <c r="M357" s="88"/>
    </row>
    <row r="358">
      <c r="A358" s="133"/>
      <c r="B358" s="133"/>
      <c r="C358" s="133"/>
      <c r="D358" s="133"/>
      <c r="E358" s="133"/>
      <c r="F358" s="133"/>
      <c r="G358" s="88"/>
      <c r="H358" s="88"/>
      <c r="I358" s="88"/>
      <c r="J358" s="88"/>
      <c r="K358" s="88"/>
      <c r="L358" s="88"/>
      <c r="M358" s="88"/>
    </row>
    <row r="359">
      <c r="A359" s="133"/>
      <c r="B359" s="133"/>
      <c r="C359" s="133"/>
      <c r="D359" s="133"/>
      <c r="E359" s="133"/>
      <c r="F359" s="133"/>
      <c r="G359" s="88"/>
      <c r="H359" s="88"/>
      <c r="I359" s="88"/>
      <c r="J359" s="88"/>
      <c r="K359" s="88"/>
      <c r="L359" s="88"/>
      <c r="M359" s="88"/>
    </row>
    <row r="360">
      <c r="A360" s="133"/>
      <c r="B360" s="133"/>
      <c r="C360" s="133"/>
      <c r="D360" s="133"/>
      <c r="E360" s="133"/>
      <c r="F360" s="133"/>
      <c r="G360" s="88"/>
      <c r="H360" s="88"/>
      <c r="I360" s="88"/>
      <c r="J360" s="88"/>
      <c r="K360" s="88"/>
      <c r="L360" s="88"/>
      <c r="M360" s="88"/>
    </row>
    <row r="361">
      <c r="A361" s="133"/>
      <c r="B361" s="133"/>
      <c r="C361" s="133"/>
      <c r="D361" s="133"/>
      <c r="E361" s="133"/>
      <c r="F361" s="133"/>
      <c r="G361" s="88"/>
      <c r="H361" s="88"/>
      <c r="I361" s="88"/>
      <c r="J361" s="88"/>
      <c r="K361" s="88"/>
      <c r="L361" s="88"/>
      <c r="M361" s="88"/>
    </row>
    <row r="362">
      <c r="A362" s="133"/>
      <c r="B362" s="133"/>
      <c r="C362" s="133"/>
      <c r="D362" s="133"/>
      <c r="E362" s="133"/>
      <c r="F362" s="133"/>
      <c r="G362" s="88"/>
      <c r="H362" s="88"/>
      <c r="I362" s="88"/>
      <c r="J362" s="88"/>
      <c r="K362" s="88"/>
      <c r="L362" s="88"/>
      <c r="M362" s="88"/>
    </row>
    <row r="363">
      <c r="A363" s="133"/>
      <c r="B363" s="133"/>
      <c r="C363" s="133"/>
      <c r="D363" s="133"/>
      <c r="E363" s="133"/>
      <c r="F363" s="133"/>
      <c r="G363" s="88"/>
      <c r="H363" s="88"/>
      <c r="I363" s="88"/>
      <c r="J363" s="88"/>
      <c r="K363" s="88"/>
      <c r="L363" s="88"/>
      <c r="M363" s="88"/>
    </row>
    <row r="364">
      <c r="A364" s="133"/>
      <c r="B364" s="133"/>
      <c r="C364" s="133"/>
      <c r="D364" s="133"/>
      <c r="E364" s="133"/>
      <c r="F364" s="133"/>
      <c r="G364" s="88"/>
      <c r="H364" s="88"/>
      <c r="I364" s="88"/>
      <c r="J364" s="88"/>
      <c r="K364" s="88"/>
      <c r="L364" s="88"/>
      <c r="M364" s="88"/>
    </row>
    <row r="365">
      <c r="A365" s="133"/>
      <c r="B365" s="133"/>
      <c r="C365" s="133"/>
      <c r="D365" s="133"/>
      <c r="E365" s="133"/>
      <c r="F365" s="133"/>
      <c r="G365" s="88"/>
      <c r="H365" s="88"/>
      <c r="I365" s="88"/>
      <c r="J365" s="88"/>
      <c r="K365" s="88"/>
      <c r="L365" s="88"/>
      <c r="M365" s="88"/>
    </row>
    <row r="366">
      <c r="A366" s="133"/>
      <c r="B366" s="133"/>
      <c r="C366" s="133"/>
      <c r="D366" s="133"/>
      <c r="E366" s="133"/>
      <c r="F366" s="133"/>
      <c r="G366" s="88"/>
      <c r="H366" s="88"/>
      <c r="I366" s="88"/>
      <c r="J366" s="88"/>
      <c r="K366" s="88"/>
      <c r="L366" s="88"/>
      <c r="M366" s="88"/>
    </row>
    <row r="367">
      <c r="A367" s="133"/>
      <c r="B367" s="133"/>
      <c r="C367" s="133"/>
      <c r="D367" s="133"/>
      <c r="E367" s="133"/>
      <c r="F367" s="133"/>
      <c r="G367" s="88"/>
      <c r="H367" s="88"/>
      <c r="I367" s="88"/>
      <c r="J367" s="88"/>
      <c r="K367" s="88"/>
      <c r="L367" s="88"/>
      <c r="M367" s="88"/>
    </row>
    <row r="368">
      <c r="A368" s="133"/>
      <c r="B368" s="133"/>
      <c r="C368" s="133"/>
      <c r="D368" s="133"/>
      <c r="E368" s="133"/>
      <c r="F368" s="133"/>
      <c r="G368" s="88"/>
      <c r="H368" s="88"/>
      <c r="I368" s="88"/>
      <c r="J368" s="88"/>
      <c r="K368" s="88"/>
      <c r="L368" s="88"/>
      <c r="M368" s="88"/>
    </row>
    <row r="369">
      <c r="A369" s="133"/>
      <c r="B369" s="133"/>
      <c r="C369" s="133"/>
      <c r="D369" s="133"/>
      <c r="E369" s="133"/>
      <c r="F369" s="133"/>
      <c r="G369" s="88"/>
      <c r="H369" s="88"/>
      <c r="I369" s="88"/>
      <c r="J369" s="88"/>
      <c r="K369" s="88"/>
      <c r="L369" s="88"/>
      <c r="M369" s="88"/>
    </row>
    <row r="370">
      <c r="A370" s="133"/>
      <c r="B370" s="133"/>
      <c r="C370" s="133"/>
      <c r="D370" s="133"/>
      <c r="E370" s="133"/>
      <c r="F370" s="133"/>
      <c r="G370" s="88"/>
      <c r="H370" s="88"/>
      <c r="I370" s="88"/>
      <c r="J370" s="88"/>
      <c r="K370" s="88"/>
      <c r="L370" s="88"/>
      <c r="M370" s="88"/>
    </row>
    <row r="371">
      <c r="A371" s="133"/>
      <c r="B371" s="133"/>
      <c r="C371" s="133"/>
      <c r="D371" s="133"/>
      <c r="E371" s="133"/>
      <c r="F371" s="133"/>
      <c r="G371" s="88"/>
      <c r="H371" s="88"/>
      <c r="I371" s="88"/>
      <c r="J371" s="88"/>
      <c r="K371" s="88"/>
      <c r="L371" s="88"/>
      <c r="M371" s="88"/>
    </row>
    <row r="372">
      <c r="A372" s="133"/>
      <c r="B372" s="133"/>
      <c r="C372" s="133"/>
      <c r="D372" s="133"/>
      <c r="E372" s="133"/>
      <c r="F372" s="133"/>
      <c r="G372" s="88"/>
      <c r="H372" s="88"/>
      <c r="I372" s="88"/>
      <c r="J372" s="88"/>
      <c r="K372" s="88"/>
      <c r="L372" s="88"/>
      <c r="M372" s="88"/>
    </row>
    <row r="373">
      <c r="A373" s="133"/>
      <c r="B373" s="133"/>
      <c r="C373" s="133"/>
      <c r="D373" s="133"/>
      <c r="E373" s="133"/>
      <c r="F373" s="133"/>
      <c r="G373" s="88"/>
      <c r="H373" s="88"/>
      <c r="I373" s="88"/>
      <c r="J373" s="88"/>
      <c r="K373" s="88"/>
      <c r="L373" s="88"/>
      <c r="M373" s="88"/>
    </row>
    <row r="374">
      <c r="A374" s="133"/>
      <c r="B374" s="133"/>
      <c r="C374" s="133"/>
      <c r="D374" s="133"/>
      <c r="E374" s="133"/>
      <c r="F374" s="133"/>
      <c r="G374" s="88"/>
      <c r="H374" s="88"/>
      <c r="I374" s="88"/>
      <c r="J374" s="88"/>
      <c r="K374" s="88"/>
      <c r="L374" s="88"/>
      <c r="M374" s="88"/>
    </row>
    <row r="375">
      <c r="A375" s="133"/>
      <c r="B375" s="133"/>
      <c r="C375" s="133"/>
      <c r="D375" s="133"/>
      <c r="E375" s="133"/>
      <c r="F375" s="133"/>
      <c r="G375" s="88"/>
      <c r="H375" s="88"/>
      <c r="I375" s="88"/>
      <c r="J375" s="88"/>
      <c r="K375" s="88"/>
      <c r="L375" s="88"/>
      <c r="M375" s="88"/>
    </row>
    <row r="376">
      <c r="A376" s="133"/>
      <c r="B376" s="133"/>
      <c r="C376" s="133"/>
      <c r="D376" s="133"/>
      <c r="E376" s="133"/>
      <c r="F376" s="133"/>
      <c r="G376" s="88"/>
      <c r="H376" s="88"/>
      <c r="I376" s="88"/>
      <c r="J376" s="88"/>
      <c r="K376" s="88"/>
      <c r="L376" s="88"/>
      <c r="M376" s="88"/>
    </row>
    <row r="377">
      <c r="A377" s="133"/>
      <c r="B377" s="133"/>
      <c r="C377" s="133"/>
      <c r="D377" s="133"/>
      <c r="E377" s="133"/>
      <c r="F377" s="133"/>
      <c r="G377" s="88"/>
      <c r="H377" s="88"/>
      <c r="I377" s="88"/>
      <c r="J377" s="88"/>
      <c r="K377" s="88"/>
      <c r="L377" s="88"/>
      <c r="M377" s="88"/>
    </row>
    <row r="378">
      <c r="A378" s="133"/>
      <c r="B378" s="133"/>
      <c r="C378" s="133"/>
      <c r="D378" s="133"/>
      <c r="E378" s="133"/>
      <c r="F378" s="133"/>
      <c r="G378" s="88"/>
      <c r="H378" s="88"/>
      <c r="I378" s="88"/>
      <c r="J378" s="88"/>
      <c r="K378" s="88"/>
      <c r="L378" s="88"/>
      <c r="M378" s="88"/>
    </row>
    <row r="379">
      <c r="A379" s="133"/>
      <c r="B379" s="133"/>
      <c r="C379" s="133"/>
      <c r="D379" s="133"/>
      <c r="E379" s="133"/>
      <c r="F379" s="133"/>
      <c r="G379" s="88"/>
      <c r="H379" s="88"/>
      <c r="I379" s="88"/>
      <c r="J379" s="88"/>
      <c r="K379" s="88"/>
      <c r="L379" s="88"/>
      <c r="M379" s="88"/>
    </row>
    <row r="380">
      <c r="A380" s="133"/>
      <c r="B380" s="133"/>
      <c r="C380" s="133"/>
      <c r="D380" s="133"/>
      <c r="E380" s="133"/>
      <c r="F380" s="133"/>
      <c r="G380" s="88"/>
      <c r="H380" s="88"/>
      <c r="I380" s="88"/>
      <c r="J380" s="88"/>
      <c r="K380" s="88"/>
      <c r="L380" s="88"/>
      <c r="M380" s="88"/>
    </row>
    <row r="381">
      <c r="A381" s="133"/>
      <c r="B381" s="133"/>
      <c r="C381" s="133"/>
      <c r="D381" s="133"/>
      <c r="E381" s="133"/>
      <c r="F381" s="133"/>
      <c r="G381" s="88"/>
      <c r="H381" s="88"/>
      <c r="I381" s="88"/>
      <c r="J381" s="88"/>
      <c r="K381" s="88"/>
      <c r="L381" s="88"/>
      <c r="M381" s="88"/>
    </row>
    <row r="382">
      <c r="A382" s="133"/>
      <c r="B382" s="133"/>
      <c r="C382" s="133"/>
      <c r="D382" s="133"/>
      <c r="E382" s="133"/>
      <c r="F382" s="133"/>
      <c r="G382" s="88"/>
      <c r="H382" s="88"/>
      <c r="I382" s="88"/>
      <c r="J382" s="88"/>
      <c r="K382" s="88"/>
      <c r="L382" s="88"/>
      <c r="M382" s="88"/>
    </row>
    <row r="383">
      <c r="A383" s="133"/>
      <c r="B383" s="133"/>
      <c r="C383" s="133"/>
      <c r="D383" s="133"/>
      <c r="E383" s="133"/>
      <c r="F383" s="133"/>
      <c r="G383" s="88"/>
      <c r="H383" s="88"/>
      <c r="I383" s="88"/>
      <c r="J383" s="88"/>
      <c r="K383" s="88"/>
      <c r="L383" s="88"/>
      <c r="M383" s="88"/>
    </row>
    <row r="384">
      <c r="A384" s="133"/>
      <c r="B384" s="133"/>
      <c r="C384" s="133"/>
      <c r="D384" s="133"/>
      <c r="E384" s="133"/>
      <c r="F384" s="133"/>
      <c r="G384" s="88"/>
      <c r="H384" s="88"/>
      <c r="I384" s="88"/>
      <c r="J384" s="88"/>
      <c r="K384" s="88"/>
      <c r="L384" s="88"/>
      <c r="M384" s="88"/>
    </row>
    <row r="385">
      <c r="A385" s="133"/>
      <c r="B385" s="133"/>
      <c r="C385" s="133"/>
      <c r="D385" s="133"/>
      <c r="E385" s="133"/>
      <c r="F385" s="133"/>
      <c r="G385" s="88"/>
      <c r="H385" s="88"/>
      <c r="I385" s="88"/>
      <c r="J385" s="88"/>
      <c r="K385" s="88"/>
      <c r="L385" s="88"/>
      <c r="M385" s="88"/>
    </row>
    <row r="386">
      <c r="A386" s="133"/>
      <c r="B386" s="133"/>
      <c r="C386" s="133"/>
      <c r="D386" s="133"/>
      <c r="E386" s="133"/>
      <c r="F386" s="133"/>
      <c r="G386" s="88"/>
      <c r="H386" s="88"/>
      <c r="I386" s="88"/>
      <c r="J386" s="88"/>
      <c r="K386" s="88"/>
      <c r="L386" s="88"/>
      <c r="M386" s="88"/>
    </row>
    <row r="387">
      <c r="A387" s="133"/>
      <c r="B387" s="133"/>
      <c r="C387" s="133"/>
      <c r="D387" s="133"/>
      <c r="E387" s="133"/>
      <c r="F387" s="133"/>
      <c r="G387" s="88"/>
      <c r="H387" s="88"/>
      <c r="I387" s="88"/>
      <c r="J387" s="88"/>
      <c r="K387" s="88"/>
      <c r="L387" s="88"/>
      <c r="M387" s="88"/>
    </row>
    <row r="388">
      <c r="A388" s="133"/>
      <c r="B388" s="133"/>
      <c r="C388" s="133"/>
      <c r="D388" s="133"/>
      <c r="E388" s="133"/>
      <c r="F388" s="133"/>
      <c r="G388" s="88"/>
      <c r="H388" s="88"/>
      <c r="I388" s="88"/>
      <c r="J388" s="88"/>
      <c r="K388" s="88"/>
      <c r="L388" s="88"/>
      <c r="M388" s="88"/>
    </row>
    <row r="389">
      <c r="A389" s="133"/>
      <c r="B389" s="133"/>
      <c r="C389" s="133"/>
      <c r="D389" s="133"/>
      <c r="E389" s="133"/>
      <c r="F389" s="133"/>
      <c r="G389" s="88"/>
      <c r="H389" s="88"/>
      <c r="I389" s="88"/>
      <c r="J389" s="88"/>
      <c r="K389" s="88"/>
      <c r="L389" s="88"/>
      <c r="M389" s="88"/>
    </row>
    <row r="390">
      <c r="A390" s="133"/>
      <c r="B390" s="133"/>
      <c r="C390" s="133"/>
      <c r="D390" s="133"/>
      <c r="E390" s="133"/>
      <c r="F390" s="133"/>
      <c r="G390" s="88"/>
      <c r="H390" s="88"/>
      <c r="I390" s="88"/>
      <c r="J390" s="88"/>
      <c r="K390" s="88"/>
      <c r="L390" s="88"/>
      <c r="M390" s="88"/>
    </row>
    <row r="391">
      <c r="A391" s="133"/>
      <c r="B391" s="133"/>
      <c r="C391" s="133"/>
      <c r="D391" s="133"/>
      <c r="E391" s="133"/>
      <c r="F391" s="133"/>
      <c r="G391" s="88"/>
      <c r="H391" s="88"/>
      <c r="I391" s="88"/>
      <c r="J391" s="88"/>
      <c r="K391" s="88"/>
      <c r="L391" s="88"/>
      <c r="M391" s="88"/>
    </row>
    <row r="392">
      <c r="A392" s="133"/>
      <c r="B392" s="133"/>
      <c r="C392" s="133"/>
      <c r="D392" s="133"/>
      <c r="E392" s="133"/>
      <c r="F392" s="133"/>
      <c r="G392" s="88"/>
      <c r="H392" s="88"/>
      <c r="I392" s="88"/>
      <c r="J392" s="88"/>
      <c r="K392" s="88"/>
      <c r="L392" s="88"/>
      <c r="M392" s="88"/>
    </row>
    <row r="393">
      <c r="A393" s="133"/>
      <c r="B393" s="133"/>
      <c r="C393" s="133"/>
      <c r="D393" s="133"/>
      <c r="E393" s="133"/>
      <c r="F393" s="133"/>
      <c r="G393" s="88"/>
      <c r="H393" s="88"/>
      <c r="I393" s="88"/>
      <c r="J393" s="88"/>
      <c r="K393" s="88"/>
      <c r="L393" s="88"/>
      <c r="M393" s="88"/>
    </row>
    <row r="394">
      <c r="A394" s="133"/>
      <c r="B394" s="133"/>
      <c r="C394" s="133"/>
      <c r="D394" s="133"/>
      <c r="E394" s="133"/>
      <c r="F394" s="133"/>
      <c r="G394" s="88"/>
      <c r="H394" s="88"/>
      <c r="I394" s="88"/>
      <c r="J394" s="88"/>
      <c r="K394" s="88"/>
      <c r="L394" s="88"/>
      <c r="M394" s="88"/>
    </row>
    <row r="395">
      <c r="A395" s="133"/>
      <c r="B395" s="133"/>
      <c r="C395" s="133"/>
      <c r="D395" s="133"/>
      <c r="E395" s="133"/>
      <c r="F395" s="133"/>
      <c r="G395" s="88"/>
      <c r="H395" s="88"/>
      <c r="I395" s="88"/>
      <c r="J395" s="88"/>
      <c r="K395" s="88"/>
      <c r="L395" s="88"/>
      <c r="M395" s="88"/>
    </row>
    <row r="396">
      <c r="A396" s="133"/>
      <c r="B396" s="133"/>
      <c r="C396" s="133"/>
      <c r="D396" s="133"/>
      <c r="E396" s="133"/>
      <c r="F396" s="133"/>
      <c r="G396" s="88"/>
      <c r="H396" s="88"/>
      <c r="I396" s="88"/>
      <c r="J396" s="88"/>
      <c r="K396" s="88"/>
      <c r="L396" s="88"/>
      <c r="M396" s="88"/>
    </row>
    <row r="397">
      <c r="A397" s="133"/>
      <c r="B397" s="133"/>
      <c r="C397" s="133"/>
      <c r="D397" s="133"/>
      <c r="E397" s="133"/>
      <c r="F397" s="133"/>
      <c r="G397" s="88"/>
      <c r="H397" s="88"/>
      <c r="I397" s="88"/>
      <c r="J397" s="88"/>
      <c r="K397" s="88"/>
      <c r="L397" s="88"/>
      <c r="M397" s="88"/>
    </row>
    <row r="398">
      <c r="A398" s="133"/>
      <c r="B398" s="133"/>
      <c r="C398" s="133"/>
      <c r="D398" s="133"/>
      <c r="E398" s="133"/>
      <c r="F398" s="133"/>
      <c r="G398" s="88"/>
      <c r="H398" s="88"/>
      <c r="I398" s="88"/>
      <c r="J398" s="88"/>
      <c r="K398" s="88"/>
      <c r="L398" s="88"/>
      <c r="M398" s="88"/>
    </row>
    <row r="399">
      <c r="A399" s="133"/>
      <c r="B399" s="133"/>
      <c r="C399" s="133"/>
      <c r="D399" s="133"/>
      <c r="E399" s="133"/>
      <c r="F399" s="133"/>
      <c r="G399" s="88"/>
      <c r="H399" s="88"/>
      <c r="I399" s="88"/>
      <c r="J399" s="88"/>
      <c r="K399" s="88"/>
      <c r="L399" s="88"/>
      <c r="M399" s="88"/>
    </row>
    <row r="400">
      <c r="A400" s="133"/>
      <c r="B400" s="133"/>
      <c r="C400" s="133"/>
      <c r="D400" s="133"/>
      <c r="E400" s="133"/>
      <c r="F400" s="133"/>
      <c r="G400" s="88"/>
      <c r="H400" s="88"/>
      <c r="I400" s="88"/>
      <c r="J400" s="88"/>
      <c r="K400" s="88"/>
      <c r="L400" s="88"/>
      <c r="M400" s="88"/>
    </row>
    <row r="401">
      <c r="A401" s="133"/>
      <c r="B401" s="133"/>
      <c r="C401" s="133"/>
      <c r="D401" s="133"/>
      <c r="E401" s="133"/>
      <c r="F401" s="133"/>
      <c r="G401" s="88"/>
      <c r="H401" s="88"/>
      <c r="I401" s="88"/>
      <c r="J401" s="88"/>
      <c r="K401" s="88"/>
      <c r="L401" s="88"/>
      <c r="M401" s="88"/>
    </row>
    <row r="402">
      <c r="A402" s="133"/>
      <c r="B402" s="133"/>
      <c r="C402" s="133"/>
      <c r="D402" s="133"/>
      <c r="E402" s="133"/>
      <c r="F402" s="133"/>
      <c r="G402" s="88"/>
      <c r="H402" s="88"/>
      <c r="I402" s="88"/>
      <c r="J402" s="88"/>
      <c r="K402" s="88"/>
      <c r="L402" s="88"/>
      <c r="M402" s="88"/>
    </row>
    <row r="403">
      <c r="A403" s="133"/>
      <c r="B403" s="133"/>
      <c r="C403" s="133"/>
      <c r="D403" s="133"/>
      <c r="E403" s="133"/>
      <c r="F403" s="133"/>
      <c r="G403" s="88"/>
      <c r="H403" s="88"/>
      <c r="I403" s="88"/>
      <c r="J403" s="88"/>
      <c r="K403" s="88"/>
      <c r="L403" s="88"/>
      <c r="M403" s="88"/>
    </row>
    <row r="404">
      <c r="A404" s="133"/>
      <c r="B404" s="133"/>
      <c r="C404" s="133"/>
      <c r="D404" s="133"/>
      <c r="E404" s="133"/>
      <c r="F404" s="133"/>
      <c r="G404" s="88"/>
      <c r="H404" s="88"/>
      <c r="I404" s="88"/>
      <c r="J404" s="88"/>
      <c r="K404" s="88"/>
      <c r="L404" s="88"/>
      <c r="M404" s="88"/>
    </row>
    <row r="405">
      <c r="A405" s="133"/>
      <c r="B405" s="133"/>
      <c r="C405" s="133"/>
      <c r="D405" s="133"/>
      <c r="E405" s="133"/>
      <c r="F405" s="133"/>
      <c r="G405" s="88"/>
      <c r="H405" s="88"/>
      <c r="I405" s="88"/>
      <c r="J405" s="88"/>
      <c r="K405" s="88"/>
      <c r="L405" s="88"/>
      <c r="M405" s="88"/>
    </row>
    <row r="406">
      <c r="A406" s="133"/>
      <c r="B406" s="133"/>
      <c r="C406" s="133"/>
      <c r="D406" s="133"/>
      <c r="E406" s="133"/>
      <c r="F406" s="133"/>
      <c r="G406" s="88"/>
      <c r="H406" s="88"/>
      <c r="I406" s="88"/>
      <c r="J406" s="88"/>
      <c r="K406" s="88"/>
      <c r="L406" s="88"/>
      <c r="M406" s="88"/>
    </row>
    <row r="407">
      <c r="A407" s="133"/>
      <c r="B407" s="133"/>
      <c r="C407" s="133"/>
      <c r="D407" s="133"/>
      <c r="E407" s="133"/>
      <c r="F407" s="133"/>
      <c r="G407" s="88"/>
      <c r="H407" s="88"/>
      <c r="I407" s="88"/>
      <c r="J407" s="88"/>
      <c r="K407" s="88"/>
      <c r="L407" s="88"/>
      <c r="M407" s="88"/>
    </row>
    <row r="408">
      <c r="A408" s="133"/>
      <c r="B408" s="133"/>
      <c r="C408" s="133"/>
      <c r="D408" s="133"/>
      <c r="E408" s="133"/>
      <c r="F408" s="133"/>
      <c r="G408" s="88"/>
      <c r="H408" s="88"/>
      <c r="I408" s="88"/>
      <c r="J408" s="88"/>
      <c r="K408" s="88"/>
      <c r="L408" s="88"/>
      <c r="M408" s="88"/>
    </row>
    <row r="409">
      <c r="A409" s="133"/>
      <c r="B409" s="133"/>
      <c r="C409" s="133"/>
      <c r="D409" s="133"/>
      <c r="E409" s="133"/>
      <c r="F409" s="133"/>
      <c r="G409" s="88"/>
      <c r="H409" s="88"/>
      <c r="I409" s="88"/>
      <c r="J409" s="88"/>
      <c r="K409" s="88"/>
      <c r="L409" s="88"/>
      <c r="M409" s="88"/>
    </row>
    <row r="410">
      <c r="A410" s="133"/>
      <c r="B410" s="133"/>
      <c r="C410" s="133"/>
      <c r="D410" s="133"/>
      <c r="E410" s="133"/>
      <c r="F410" s="133"/>
      <c r="G410" s="88"/>
      <c r="H410" s="88"/>
      <c r="I410" s="88"/>
      <c r="J410" s="88"/>
      <c r="K410" s="88"/>
      <c r="L410" s="88"/>
      <c r="M410" s="88"/>
    </row>
    <row r="411">
      <c r="A411" s="133"/>
      <c r="B411" s="133"/>
      <c r="C411" s="133"/>
      <c r="D411" s="133"/>
      <c r="E411" s="133"/>
      <c r="F411" s="133"/>
      <c r="G411" s="88"/>
      <c r="H411" s="88"/>
      <c r="I411" s="88"/>
      <c r="J411" s="88"/>
      <c r="K411" s="88"/>
      <c r="L411" s="88"/>
      <c r="M411" s="88"/>
    </row>
    <row r="412">
      <c r="A412" s="133"/>
      <c r="B412" s="133"/>
      <c r="C412" s="133"/>
      <c r="D412" s="133"/>
      <c r="E412" s="133"/>
      <c r="F412" s="133"/>
      <c r="G412" s="88"/>
      <c r="H412" s="88"/>
      <c r="I412" s="88"/>
      <c r="J412" s="88"/>
      <c r="K412" s="88"/>
      <c r="L412" s="88"/>
      <c r="M412" s="88"/>
    </row>
    <row r="413">
      <c r="A413" s="133"/>
      <c r="B413" s="133"/>
      <c r="C413" s="133"/>
      <c r="D413" s="133"/>
      <c r="E413" s="133"/>
      <c r="F413" s="133"/>
      <c r="G413" s="88"/>
      <c r="H413" s="88"/>
      <c r="I413" s="88"/>
      <c r="J413" s="88"/>
      <c r="K413" s="88"/>
      <c r="L413" s="88"/>
      <c r="M413" s="88"/>
    </row>
    <row r="414">
      <c r="A414" s="133"/>
      <c r="B414" s="133"/>
      <c r="C414" s="133"/>
      <c r="D414" s="133"/>
      <c r="E414" s="133"/>
      <c r="F414" s="133"/>
      <c r="G414" s="88"/>
      <c r="H414" s="88"/>
      <c r="I414" s="88"/>
      <c r="J414" s="88"/>
      <c r="K414" s="88"/>
      <c r="L414" s="88"/>
      <c r="M414" s="88"/>
    </row>
    <row r="415">
      <c r="A415" s="133"/>
      <c r="B415" s="133"/>
      <c r="C415" s="133"/>
      <c r="D415" s="133"/>
      <c r="E415" s="133"/>
      <c r="F415" s="133"/>
      <c r="G415" s="88"/>
      <c r="H415" s="88"/>
      <c r="I415" s="88"/>
      <c r="J415" s="88"/>
      <c r="K415" s="88"/>
      <c r="L415" s="88"/>
      <c r="M415" s="88"/>
    </row>
    <row r="416">
      <c r="A416" s="133"/>
      <c r="B416" s="133"/>
      <c r="C416" s="133"/>
      <c r="D416" s="133"/>
      <c r="E416" s="133"/>
      <c r="F416" s="133"/>
      <c r="G416" s="88"/>
      <c r="H416" s="88"/>
      <c r="I416" s="88"/>
      <c r="J416" s="88"/>
      <c r="K416" s="88"/>
      <c r="L416" s="88"/>
      <c r="M416" s="88"/>
    </row>
    <row r="417">
      <c r="A417" s="133"/>
      <c r="B417" s="133"/>
      <c r="C417" s="133"/>
      <c r="D417" s="133"/>
      <c r="E417" s="133"/>
      <c r="F417" s="133"/>
      <c r="G417" s="88"/>
      <c r="H417" s="88"/>
      <c r="I417" s="88"/>
      <c r="J417" s="88"/>
      <c r="K417" s="88"/>
      <c r="L417" s="88"/>
      <c r="M417" s="88"/>
    </row>
    <row r="418">
      <c r="A418" s="133"/>
      <c r="B418" s="133"/>
      <c r="C418" s="133"/>
      <c r="D418" s="133"/>
      <c r="E418" s="133"/>
      <c r="F418" s="133"/>
      <c r="G418" s="88"/>
      <c r="H418" s="88"/>
      <c r="I418" s="88"/>
      <c r="J418" s="88"/>
      <c r="K418" s="88"/>
      <c r="L418" s="88"/>
      <c r="M418" s="88"/>
    </row>
    <row r="419">
      <c r="A419" s="133"/>
      <c r="B419" s="133"/>
      <c r="C419" s="133"/>
      <c r="D419" s="133"/>
      <c r="E419" s="133"/>
      <c r="F419" s="133"/>
      <c r="G419" s="88"/>
      <c r="H419" s="88"/>
      <c r="I419" s="88"/>
      <c r="J419" s="88"/>
      <c r="K419" s="88"/>
      <c r="L419" s="88"/>
      <c r="M419" s="88"/>
    </row>
    <row r="420">
      <c r="A420" s="133"/>
      <c r="B420" s="133"/>
      <c r="C420" s="133"/>
      <c r="D420" s="133"/>
      <c r="E420" s="133"/>
      <c r="F420" s="133"/>
      <c r="G420" s="88"/>
      <c r="H420" s="88"/>
      <c r="I420" s="88"/>
      <c r="J420" s="88"/>
      <c r="K420" s="88"/>
      <c r="L420" s="88"/>
      <c r="M420" s="88"/>
    </row>
    <row r="421">
      <c r="A421" s="133"/>
      <c r="B421" s="133"/>
      <c r="C421" s="133"/>
      <c r="D421" s="133"/>
      <c r="E421" s="133"/>
      <c r="F421" s="133"/>
      <c r="G421" s="88"/>
      <c r="H421" s="88"/>
      <c r="I421" s="88"/>
      <c r="J421" s="88"/>
      <c r="K421" s="88"/>
      <c r="L421" s="88"/>
      <c r="M421" s="88"/>
    </row>
    <row r="422">
      <c r="A422" s="133"/>
      <c r="B422" s="133"/>
      <c r="C422" s="133"/>
      <c r="D422" s="133"/>
      <c r="E422" s="133"/>
      <c r="F422" s="133"/>
      <c r="G422" s="88"/>
      <c r="H422" s="88"/>
      <c r="I422" s="88"/>
      <c r="J422" s="88"/>
      <c r="K422" s="88"/>
      <c r="L422" s="88"/>
      <c r="M422" s="88"/>
    </row>
    <row r="423">
      <c r="A423" s="133"/>
      <c r="B423" s="133"/>
      <c r="C423" s="133"/>
      <c r="D423" s="133"/>
      <c r="E423" s="133"/>
      <c r="F423" s="133"/>
      <c r="G423" s="88"/>
      <c r="H423" s="88"/>
      <c r="I423" s="88"/>
      <c r="J423" s="88"/>
      <c r="K423" s="88"/>
      <c r="L423" s="88"/>
      <c r="M423" s="88"/>
    </row>
    <row r="424">
      <c r="A424" s="133"/>
      <c r="B424" s="133"/>
      <c r="C424" s="133"/>
      <c r="D424" s="133"/>
      <c r="E424" s="133"/>
      <c r="F424" s="133"/>
      <c r="G424" s="88"/>
      <c r="H424" s="88"/>
      <c r="I424" s="88"/>
      <c r="J424" s="88"/>
      <c r="K424" s="88"/>
      <c r="L424" s="88"/>
      <c r="M424" s="88"/>
    </row>
    <row r="425">
      <c r="A425" s="133"/>
      <c r="B425" s="133"/>
      <c r="C425" s="133"/>
      <c r="D425" s="133"/>
      <c r="E425" s="133"/>
      <c r="F425" s="133"/>
      <c r="G425" s="88"/>
      <c r="H425" s="88"/>
      <c r="I425" s="88"/>
      <c r="J425" s="88"/>
      <c r="K425" s="88"/>
      <c r="L425" s="88"/>
      <c r="M425" s="88"/>
    </row>
    <row r="426">
      <c r="A426" s="133"/>
      <c r="B426" s="133"/>
      <c r="C426" s="133"/>
      <c r="D426" s="133"/>
      <c r="E426" s="133"/>
      <c r="F426" s="133"/>
      <c r="G426" s="88"/>
      <c r="H426" s="88"/>
      <c r="I426" s="88"/>
      <c r="J426" s="88"/>
      <c r="K426" s="88"/>
      <c r="L426" s="88"/>
      <c r="M426" s="88"/>
    </row>
    <row r="427">
      <c r="A427" s="133"/>
      <c r="B427" s="133"/>
      <c r="C427" s="133"/>
      <c r="D427" s="133"/>
      <c r="E427" s="133"/>
      <c r="F427" s="133"/>
      <c r="G427" s="88"/>
      <c r="H427" s="88"/>
      <c r="I427" s="88"/>
      <c r="J427" s="88"/>
      <c r="K427" s="88"/>
      <c r="L427" s="88"/>
      <c r="M427" s="88"/>
    </row>
    <row r="428">
      <c r="A428" s="133"/>
      <c r="B428" s="133"/>
      <c r="C428" s="133"/>
      <c r="D428" s="133"/>
      <c r="E428" s="133"/>
      <c r="F428" s="133"/>
      <c r="G428" s="88"/>
      <c r="H428" s="88"/>
      <c r="I428" s="88"/>
      <c r="J428" s="88"/>
      <c r="K428" s="88"/>
      <c r="L428" s="88"/>
      <c r="M428" s="88"/>
    </row>
    <row r="429">
      <c r="A429" s="133"/>
      <c r="B429" s="133"/>
      <c r="C429" s="133"/>
      <c r="D429" s="133"/>
      <c r="E429" s="133"/>
      <c r="F429" s="133"/>
      <c r="G429" s="88"/>
      <c r="H429" s="88"/>
      <c r="I429" s="88"/>
      <c r="J429" s="88"/>
      <c r="K429" s="88"/>
      <c r="L429" s="88"/>
      <c r="M429" s="88"/>
    </row>
    <row r="430">
      <c r="A430" s="133"/>
      <c r="B430" s="133"/>
      <c r="C430" s="133"/>
      <c r="D430" s="133"/>
      <c r="E430" s="133"/>
      <c r="F430" s="133"/>
      <c r="G430" s="88"/>
      <c r="H430" s="88"/>
      <c r="I430" s="88"/>
      <c r="J430" s="88"/>
      <c r="K430" s="88"/>
      <c r="L430" s="88"/>
      <c r="M430" s="88"/>
    </row>
    <row r="431">
      <c r="A431" s="133"/>
      <c r="B431" s="133"/>
      <c r="C431" s="133"/>
      <c r="D431" s="133"/>
      <c r="E431" s="133"/>
      <c r="F431" s="133"/>
      <c r="G431" s="88"/>
      <c r="H431" s="88"/>
      <c r="I431" s="88"/>
      <c r="J431" s="88"/>
      <c r="K431" s="88"/>
      <c r="L431" s="88"/>
      <c r="M431" s="88"/>
    </row>
    <row r="432">
      <c r="A432" s="133"/>
      <c r="B432" s="133"/>
      <c r="C432" s="133"/>
      <c r="D432" s="133"/>
      <c r="E432" s="133"/>
      <c r="F432" s="133"/>
      <c r="G432" s="88"/>
      <c r="H432" s="88"/>
      <c r="I432" s="88"/>
      <c r="J432" s="88"/>
      <c r="K432" s="88"/>
      <c r="L432" s="88"/>
      <c r="M432" s="88"/>
    </row>
    <row r="433">
      <c r="A433" s="133"/>
      <c r="B433" s="133"/>
      <c r="C433" s="133"/>
      <c r="D433" s="133"/>
      <c r="E433" s="133"/>
      <c r="F433" s="133"/>
      <c r="G433" s="88"/>
      <c r="H433" s="88"/>
      <c r="I433" s="88"/>
      <c r="J433" s="88"/>
      <c r="K433" s="88"/>
      <c r="L433" s="88"/>
      <c r="M433" s="88"/>
    </row>
    <row r="434">
      <c r="A434" s="133"/>
      <c r="B434" s="133"/>
      <c r="C434" s="133"/>
      <c r="D434" s="133"/>
      <c r="E434" s="133"/>
      <c r="F434" s="133"/>
      <c r="G434" s="88"/>
      <c r="H434" s="88"/>
      <c r="I434" s="88"/>
      <c r="J434" s="88"/>
      <c r="K434" s="88"/>
      <c r="L434" s="88"/>
      <c r="M434" s="88"/>
    </row>
    <row r="435">
      <c r="A435" s="133"/>
      <c r="B435" s="133"/>
      <c r="C435" s="133"/>
      <c r="D435" s="133"/>
      <c r="E435" s="133"/>
      <c r="F435" s="133"/>
      <c r="G435" s="88"/>
      <c r="H435" s="88"/>
      <c r="I435" s="88"/>
      <c r="J435" s="88"/>
      <c r="K435" s="88"/>
      <c r="L435" s="88"/>
      <c r="M435" s="88"/>
    </row>
    <row r="436">
      <c r="A436" s="133"/>
      <c r="B436" s="133"/>
      <c r="C436" s="133"/>
      <c r="D436" s="133"/>
      <c r="E436" s="133"/>
      <c r="F436" s="133"/>
      <c r="G436" s="88"/>
      <c r="H436" s="88"/>
      <c r="I436" s="88"/>
      <c r="J436" s="88"/>
      <c r="K436" s="88"/>
      <c r="L436" s="88"/>
      <c r="M436" s="88"/>
    </row>
    <row r="437">
      <c r="A437" s="133"/>
      <c r="B437" s="133"/>
      <c r="C437" s="133"/>
      <c r="D437" s="133"/>
      <c r="E437" s="133"/>
      <c r="F437" s="133"/>
      <c r="G437" s="88"/>
      <c r="H437" s="88"/>
      <c r="I437" s="88"/>
      <c r="J437" s="88"/>
      <c r="K437" s="88"/>
      <c r="L437" s="88"/>
      <c r="M437" s="88"/>
    </row>
    <row r="438">
      <c r="A438" s="133"/>
      <c r="B438" s="133"/>
      <c r="C438" s="133"/>
      <c r="D438" s="133"/>
      <c r="E438" s="133"/>
      <c r="F438" s="133"/>
      <c r="G438" s="88"/>
      <c r="H438" s="88"/>
      <c r="I438" s="88"/>
      <c r="J438" s="88"/>
      <c r="K438" s="88"/>
      <c r="L438" s="88"/>
      <c r="M438" s="88"/>
    </row>
    <row r="439">
      <c r="A439" s="133"/>
      <c r="B439" s="133"/>
      <c r="C439" s="133"/>
      <c r="D439" s="133"/>
      <c r="E439" s="133"/>
      <c r="F439" s="133"/>
      <c r="G439" s="88"/>
      <c r="H439" s="88"/>
      <c r="I439" s="88"/>
      <c r="J439" s="88"/>
      <c r="K439" s="88"/>
      <c r="L439" s="88"/>
      <c r="M439" s="88"/>
    </row>
    <row r="440">
      <c r="A440" s="133"/>
      <c r="B440" s="133"/>
      <c r="C440" s="133"/>
      <c r="D440" s="133"/>
      <c r="E440" s="133"/>
      <c r="F440" s="133"/>
      <c r="G440" s="88"/>
      <c r="H440" s="88"/>
      <c r="I440" s="88"/>
      <c r="J440" s="88"/>
      <c r="K440" s="88"/>
      <c r="L440" s="88"/>
      <c r="M440" s="88"/>
    </row>
    <row r="441">
      <c r="A441" s="133"/>
      <c r="B441" s="133"/>
      <c r="C441" s="133"/>
      <c r="D441" s="133"/>
      <c r="E441" s="133"/>
      <c r="F441" s="133"/>
      <c r="G441" s="88"/>
      <c r="H441" s="88"/>
      <c r="I441" s="88"/>
      <c r="J441" s="88"/>
      <c r="K441" s="88"/>
      <c r="L441" s="88"/>
      <c r="M441" s="88"/>
    </row>
    <row r="442">
      <c r="A442" s="133"/>
      <c r="B442" s="133"/>
      <c r="C442" s="133"/>
      <c r="D442" s="133"/>
      <c r="E442" s="133"/>
      <c r="F442" s="133"/>
      <c r="G442" s="88"/>
      <c r="H442" s="88"/>
      <c r="I442" s="88"/>
      <c r="J442" s="88"/>
      <c r="K442" s="88"/>
      <c r="L442" s="88"/>
      <c r="M442" s="88"/>
    </row>
    <row r="443">
      <c r="A443" s="133"/>
      <c r="B443" s="133"/>
      <c r="C443" s="133"/>
      <c r="D443" s="133"/>
      <c r="E443" s="133"/>
      <c r="F443" s="133"/>
      <c r="G443" s="88"/>
      <c r="H443" s="88"/>
      <c r="I443" s="88"/>
      <c r="J443" s="88"/>
      <c r="K443" s="88"/>
      <c r="L443" s="88"/>
      <c r="M443" s="88"/>
    </row>
    <row r="444">
      <c r="A444" s="133"/>
      <c r="B444" s="133"/>
      <c r="C444" s="133"/>
      <c r="D444" s="133"/>
      <c r="E444" s="133"/>
      <c r="F444" s="133"/>
      <c r="G444" s="88"/>
      <c r="H444" s="88"/>
      <c r="I444" s="88"/>
      <c r="J444" s="88"/>
      <c r="K444" s="88"/>
      <c r="L444" s="88"/>
      <c r="M444" s="88"/>
    </row>
    <row r="445">
      <c r="A445" s="133"/>
      <c r="B445" s="133"/>
      <c r="C445" s="133"/>
      <c r="D445" s="133"/>
      <c r="E445" s="133"/>
      <c r="F445" s="133"/>
      <c r="G445" s="88"/>
      <c r="H445" s="88"/>
      <c r="I445" s="88"/>
      <c r="J445" s="88"/>
      <c r="K445" s="88"/>
      <c r="L445" s="88"/>
      <c r="M445" s="88"/>
    </row>
    <row r="446">
      <c r="A446" s="133"/>
      <c r="B446" s="133"/>
      <c r="C446" s="133"/>
      <c r="D446" s="133"/>
      <c r="E446" s="133"/>
      <c r="F446" s="133"/>
      <c r="G446" s="88"/>
      <c r="H446" s="88"/>
      <c r="I446" s="88"/>
      <c r="J446" s="88"/>
      <c r="K446" s="88"/>
      <c r="L446" s="88"/>
      <c r="M446" s="88"/>
    </row>
    <row r="447">
      <c r="A447" s="133"/>
      <c r="B447" s="133"/>
      <c r="C447" s="133"/>
      <c r="D447" s="133"/>
      <c r="E447" s="133"/>
      <c r="F447" s="133"/>
      <c r="G447" s="88"/>
      <c r="H447" s="88"/>
      <c r="I447" s="88"/>
      <c r="J447" s="88"/>
      <c r="K447" s="88"/>
      <c r="L447" s="88"/>
      <c r="M447" s="88"/>
    </row>
    <row r="448">
      <c r="A448" s="133"/>
      <c r="B448" s="133"/>
      <c r="C448" s="133"/>
      <c r="D448" s="133"/>
      <c r="E448" s="133"/>
      <c r="F448" s="133"/>
      <c r="G448" s="88"/>
      <c r="H448" s="88"/>
      <c r="I448" s="88"/>
      <c r="J448" s="88"/>
      <c r="K448" s="88"/>
      <c r="L448" s="88"/>
      <c r="M448" s="88"/>
    </row>
    <row r="449">
      <c r="A449" s="133"/>
      <c r="B449" s="133"/>
      <c r="C449" s="133"/>
      <c r="D449" s="133"/>
      <c r="E449" s="133"/>
      <c r="F449" s="133"/>
      <c r="G449" s="88"/>
      <c r="H449" s="88"/>
      <c r="I449" s="88"/>
      <c r="J449" s="88"/>
      <c r="K449" s="88"/>
      <c r="L449" s="88"/>
      <c r="M449" s="88"/>
    </row>
    <row r="450">
      <c r="A450" s="133"/>
      <c r="B450" s="133"/>
      <c r="C450" s="133"/>
      <c r="D450" s="133"/>
      <c r="E450" s="133"/>
      <c r="F450" s="133"/>
      <c r="G450" s="88"/>
      <c r="H450" s="88"/>
      <c r="I450" s="88"/>
      <c r="J450" s="88"/>
      <c r="K450" s="88"/>
      <c r="L450" s="88"/>
      <c r="M450" s="88"/>
    </row>
    <row r="451">
      <c r="A451" s="133"/>
      <c r="B451" s="133"/>
      <c r="C451" s="133"/>
      <c r="D451" s="133"/>
      <c r="E451" s="133"/>
      <c r="F451" s="133"/>
      <c r="G451" s="88"/>
      <c r="H451" s="88"/>
      <c r="I451" s="88"/>
      <c r="J451" s="88"/>
      <c r="K451" s="88"/>
      <c r="L451" s="88"/>
      <c r="M451" s="88"/>
    </row>
    <row r="452">
      <c r="A452" s="133"/>
      <c r="B452" s="133"/>
      <c r="C452" s="133"/>
      <c r="D452" s="133"/>
      <c r="E452" s="133"/>
      <c r="F452" s="133"/>
      <c r="G452" s="88"/>
      <c r="H452" s="88"/>
      <c r="I452" s="88"/>
      <c r="J452" s="88"/>
      <c r="K452" s="88"/>
      <c r="L452" s="88"/>
      <c r="M452" s="88"/>
    </row>
    <row r="453">
      <c r="A453" s="133"/>
      <c r="B453" s="133"/>
      <c r="C453" s="133"/>
      <c r="D453" s="133"/>
      <c r="E453" s="133"/>
      <c r="F453" s="133"/>
      <c r="G453" s="88"/>
      <c r="H453" s="88"/>
      <c r="I453" s="88"/>
      <c r="J453" s="88"/>
      <c r="K453" s="88"/>
      <c r="L453" s="88"/>
      <c r="M453" s="88"/>
    </row>
    <row r="454">
      <c r="A454" s="133"/>
      <c r="B454" s="133"/>
      <c r="C454" s="133"/>
      <c r="D454" s="133"/>
      <c r="E454" s="133"/>
      <c r="F454" s="133"/>
      <c r="G454" s="88"/>
      <c r="H454" s="88"/>
      <c r="I454" s="88"/>
      <c r="J454" s="88"/>
      <c r="K454" s="88"/>
      <c r="L454" s="88"/>
      <c r="M454" s="88"/>
    </row>
    <row r="455">
      <c r="A455" s="133"/>
      <c r="B455" s="133"/>
      <c r="C455" s="133"/>
      <c r="D455" s="133"/>
      <c r="E455" s="133"/>
      <c r="F455" s="133"/>
      <c r="G455" s="88"/>
      <c r="H455" s="88"/>
      <c r="I455" s="88"/>
      <c r="J455" s="88"/>
      <c r="K455" s="88"/>
      <c r="L455" s="88"/>
      <c r="M455" s="88"/>
    </row>
    <row r="456">
      <c r="A456" s="133"/>
      <c r="B456" s="133"/>
      <c r="C456" s="133"/>
      <c r="D456" s="133"/>
      <c r="E456" s="133"/>
      <c r="F456" s="133"/>
      <c r="G456" s="88"/>
      <c r="H456" s="88"/>
      <c r="I456" s="88"/>
      <c r="J456" s="88"/>
      <c r="K456" s="88"/>
      <c r="L456" s="88"/>
      <c r="M456" s="88"/>
    </row>
    <row r="457">
      <c r="A457" s="133"/>
      <c r="B457" s="133"/>
      <c r="C457" s="133"/>
      <c r="D457" s="133"/>
      <c r="E457" s="133"/>
      <c r="F457" s="133"/>
      <c r="G457" s="88"/>
      <c r="H457" s="88"/>
      <c r="I457" s="88"/>
      <c r="J457" s="88"/>
      <c r="K457" s="88"/>
      <c r="L457" s="88"/>
      <c r="M457" s="88"/>
    </row>
    <row r="458">
      <c r="A458" s="133"/>
      <c r="B458" s="133"/>
      <c r="C458" s="133"/>
      <c r="D458" s="133"/>
      <c r="E458" s="133"/>
      <c r="F458" s="133"/>
      <c r="G458" s="88"/>
      <c r="H458" s="88"/>
      <c r="I458" s="88"/>
      <c r="J458" s="88"/>
      <c r="K458" s="88"/>
      <c r="L458" s="88"/>
      <c r="M458" s="88"/>
    </row>
    <row r="459">
      <c r="A459" s="133"/>
      <c r="B459" s="133"/>
      <c r="C459" s="133"/>
      <c r="D459" s="133"/>
      <c r="E459" s="133"/>
      <c r="F459" s="133"/>
      <c r="G459" s="88"/>
      <c r="H459" s="88"/>
      <c r="I459" s="88"/>
      <c r="J459" s="88"/>
      <c r="K459" s="88"/>
      <c r="L459" s="88"/>
      <c r="M459" s="88"/>
    </row>
    <row r="460">
      <c r="A460" s="133"/>
      <c r="B460" s="133"/>
      <c r="C460" s="133"/>
      <c r="D460" s="133"/>
      <c r="E460" s="133"/>
      <c r="F460" s="133"/>
      <c r="G460" s="88"/>
      <c r="H460" s="88"/>
      <c r="I460" s="88"/>
      <c r="J460" s="88"/>
      <c r="K460" s="88"/>
      <c r="L460" s="88"/>
      <c r="M460" s="88"/>
    </row>
    <row r="461">
      <c r="A461" s="133"/>
      <c r="B461" s="133"/>
      <c r="C461" s="133"/>
      <c r="D461" s="133"/>
      <c r="E461" s="133"/>
      <c r="F461" s="133"/>
      <c r="G461" s="88"/>
      <c r="H461" s="88"/>
      <c r="I461" s="88"/>
      <c r="J461" s="88"/>
      <c r="K461" s="88"/>
      <c r="L461" s="88"/>
      <c r="M461" s="88"/>
    </row>
    <row r="462">
      <c r="A462" s="133"/>
      <c r="B462" s="133"/>
      <c r="C462" s="133"/>
      <c r="D462" s="133"/>
      <c r="E462" s="133"/>
      <c r="F462" s="133"/>
      <c r="G462" s="88"/>
      <c r="H462" s="88"/>
      <c r="I462" s="88"/>
      <c r="J462" s="88"/>
      <c r="K462" s="88"/>
      <c r="L462" s="88"/>
      <c r="M462" s="88"/>
    </row>
    <row r="463">
      <c r="A463" s="133"/>
      <c r="B463" s="133"/>
      <c r="C463" s="133"/>
      <c r="D463" s="133"/>
      <c r="E463" s="133"/>
      <c r="F463" s="133"/>
      <c r="G463" s="88"/>
      <c r="H463" s="88"/>
      <c r="I463" s="88"/>
      <c r="J463" s="88"/>
      <c r="K463" s="88"/>
      <c r="L463" s="88"/>
      <c r="M463" s="88"/>
    </row>
    <row r="464">
      <c r="A464" s="133"/>
      <c r="B464" s="133"/>
      <c r="C464" s="133"/>
      <c r="D464" s="133"/>
      <c r="E464" s="133"/>
      <c r="F464" s="133"/>
      <c r="G464" s="88"/>
      <c r="H464" s="88"/>
      <c r="I464" s="88"/>
      <c r="J464" s="88"/>
      <c r="K464" s="88"/>
      <c r="L464" s="88"/>
      <c r="M464" s="88"/>
    </row>
    <row r="465">
      <c r="A465" s="133"/>
      <c r="B465" s="133"/>
      <c r="C465" s="133"/>
      <c r="D465" s="133"/>
      <c r="E465" s="133"/>
      <c r="F465" s="133"/>
      <c r="G465" s="88"/>
      <c r="H465" s="88"/>
      <c r="I465" s="88"/>
      <c r="J465" s="88"/>
      <c r="K465" s="88"/>
      <c r="L465" s="88"/>
      <c r="M465" s="88"/>
    </row>
    <row r="466">
      <c r="A466" s="133"/>
      <c r="B466" s="133"/>
      <c r="C466" s="133"/>
      <c r="D466" s="133"/>
      <c r="E466" s="133"/>
      <c r="F466" s="133"/>
      <c r="G466" s="88"/>
      <c r="H466" s="88"/>
      <c r="I466" s="88"/>
      <c r="J466" s="88"/>
      <c r="K466" s="88"/>
      <c r="L466" s="88"/>
      <c r="M466" s="88"/>
    </row>
    <row r="467">
      <c r="A467" s="133"/>
      <c r="B467" s="133"/>
      <c r="C467" s="133"/>
      <c r="D467" s="133"/>
      <c r="E467" s="133"/>
      <c r="F467" s="133"/>
      <c r="G467" s="88"/>
      <c r="H467" s="88"/>
      <c r="I467" s="88"/>
      <c r="J467" s="88"/>
      <c r="K467" s="88"/>
      <c r="L467" s="88"/>
      <c r="M467" s="88"/>
    </row>
    <row r="468">
      <c r="A468" s="133"/>
      <c r="B468" s="133"/>
      <c r="C468" s="133"/>
      <c r="D468" s="133"/>
      <c r="E468" s="133"/>
      <c r="F468" s="133"/>
      <c r="G468" s="88"/>
      <c r="H468" s="88"/>
      <c r="I468" s="88"/>
      <c r="J468" s="88"/>
      <c r="K468" s="88"/>
      <c r="L468" s="88"/>
      <c r="M468" s="88"/>
    </row>
    <row r="469">
      <c r="A469" s="133"/>
      <c r="B469" s="133"/>
      <c r="C469" s="133"/>
      <c r="D469" s="133"/>
      <c r="E469" s="133"/>
      <c r="F469" s="133"/>
      <c r="G469" s="88"/>
      <c r="H469" s="88"/>
      <c r="I469" s="88"/>
      <c r="J469" s="88"/>
      <c r="K469" s="88"/>
      <c r="L469" s="88"/>
      <c r="M469" s="88"/>
    </row>
    <row r="470">
      <c r="A470" s="133"/>
      <c r="B470" s="133"/>
      <c r="C470" s="133"/>
      <c r="D470" s="133"/>
      <c r="E470" s="133"/>
      <c r="F470" s="133"/>
      <c r="G470" s="88"/>
      <c r="H470" s="88"/>
      <c r="I470" s="88"/>
      <c r="J470" s="88"/>
      <c r="K470" s="88"/>
      <c r="L470" s="88"/>
      <c r="M470" s="88"/>
    </row>
    <row r="471">
      <c r="A471" s="133"/>
      <c r="B471" s="133"/>
      <c r="C471" s="133"/>
      <c r="D471" s="133"/>
      <c r="E471" s="133"/>
      <c r="F471" s="133"/>
      <c r="G471" s="88"/>
      <c r="H471" s="88"/>
      <c r="I471" s="88"/>
      <c r="J471" s="88"/>
      <c r="K471" s="88"/>
      <c r="L471" s="88"/>
      <c r="M471" s="88"/>
    </row>
    <row r="472">
      <c r="A472" s="133"/>
      <c r="B472" s="133"/>
      <c r="C472" s="133"/>
      <c r="D472" s="133"/>
      <c r="E472" s="133"/>
      <c r="F472" s="133"/>
      <c r="G472" s="88"/>
      <c r="H472" s="88"/>
      <c r="I472" s="88"/>
      <c r="J472" s="88"/>
      <c r="K472" s="88"/>
      <c r="L472" s="88"/>
      <c r="M472" s="88"/>
    </row>
    <row r="473">
      <c r="A473" s="133"/>
      <c r="B473" s="133"/>
      <c r="C473" s="133"/>
      <c r="D473" s="133"/>
      <c r="E473" s="133"/>
      <c r="F473" s="133"/>
      <c r="G473" s="88"/>
      <c r="H473" s="88"/>
      <c r="I473" s="88"/>
      <c r="J473" s="88"/>
      <c r="K473" s="88"/>
      <c r="L473" s="88"/>
      <c r="M473" s="88"/>
    </row>
    <row r="474">
      <c r="A474" s="133"/>
      <c r="B474" s="133"/>
      <c r="C474" s="133"/>
      <c r="D474" s="133"/>
      <c r="E474" s="133"/>
      <c r="F474" s="133"/>
      <c r="G474" s="88"/>
      <c r="H474" s="88"/>
      <c r="I474" s="88"/>
      <c r="J474" s="88"/>
      <c r="K474" s="88"/>
      <c r="L474" s="88"/>
      <c r="M474" s="88"/>
    </row>
    <row r="475">
      <c r="A475" s="133"/>
      <c r="B475" s="133"/>
      <c r="C475" s="133"/>
      <c r="D475" s="133"/>
      <c r="E475" s="133"/>
      <c r="F475" s="133"/>
      <c r="G475" s="88"/>
      <c r="H475" s="88"/>
      <c r="I475" s="88"/>
      <c r="J475" s="88"/>
      <c r="K475" s="88"/>
      <c r="L475" s="88"/>
      <c r="M475" s="88"/>
    </row>
    <row r="476">
      <c r="A476" s="133"/>
      <c r="B476" s="133"/>
      <c r="C476" s="133"/>
      <c r="D476" s="133"/>
      <c r="E476" s="133"/>
      <c r="F476" s="133"/>
      <c r="G476" s="88"/>
      <c r="H476" s="88"/>
      <c r="I476" s="88"/>
      <c r="J476" s="88"/>
      <c r="K476" s="88"/>
      <c r="L476" s="88"/>
      <c r="M476" s="88"/>
    </row>
    <row r="477">
      <c r="A477" s="133"/>
      <c r="B477" s="133"/>
      <c r="C477" s="133"/>
      <c r="D477" s="133"/>
      <c r="E477" s="133"/>
      <c r="F477" s="133"/>
      <c r="G477" s="88"/>
      <c r="H477" s="88"/>
      <c r="I477" s="88"/>
      <c r="J477" s="88"/>
      <c r="K477" s="88"/>
      <c r="L477" s="88"/>
      <c r="M477" s="88"/>
    </row>
    <row r="478">
      <c r="A478" s="133"/>
      <c r="B478" s="133"/>
      <c r="C478" s="133"/>
      <c r="D478" s="133"/>
      <c r="E478" s="133"/>
      <c r="F478" s="133"/>
      <c r="G478" s="88"/>
      <c r="H478" s="88"/>
      <c r="I478" s="88"/>
      <c r="J478" s="88"/>
      <c r="K478" s="88"/>
      <c r="L478" s="88"/>
      <c r="M478" s="88"/>
    </row>
    <row r="479">
      <c r="A479" s="133"/>
      <c r="B479" s="133"/>
      <c r="C479" s="133"/>
      <c r="D479" s="133"/>
      <c r="E479" s="133"/>
      <c r="F479" s="133"/>
      <c r="G479" s="88"/>
      <c r="H479" s="88"/>
      <c r="I479" s="88"/>
      <c r="J479" s="88"/>
      <c r="K479" s="88"/>
      <c r="L479" s="88"/>
      <c r="M479" s="88"/>
    </row>
    <row r="480">
      <c r="A480" s="133"/>
      <c r="B480" s="133"/>
      <c r="C480" s="133"/>
      <c r="D480" s="133"/>
      <c r="E480" s="133"/>
      <c r="F480" s="133"/>
      <c r="G480" s="88"/>
      <c r="H480" s="88"/>
      <c r="I480" s="88"/>
      <c r="J480" s="88"/>
      <c r="K480" s="88"/>
      <c r="L480" s="88"/>
      <c r="M480" s="88"/>
    </row>
    <row r="481">
      <c r="A481" s="133"/>
      <c r="B481" s="133"/>
      <c r="C481" s="133"/>
      <c r="D481" s="133"/>
      <c r="E481" s="133"/>
      <c r="F481" s="133"/>
      <c r="G481" s="88"/>
      <c r="H481" s="88"/>
      <c r="I481" s="88"/>
      <c r="J481" s="88"/>
      <c r="K481" s="88"/>
      <c r="L481" s="88"/>
      <c r="M481" s="88"/>
    </row>
    <row r="482">
      <c r="A482" s="133"/>
      <c r="B482" s="133"/>
      <c r="C482" s="133"/>
      <c r="D482" s="133"/>
      <c r="E482" s="133"/>
      <c r="F482" s="133"/>
      <c r="G482" s="88"/>
      <c r="H482" s="88"/>
      <c r="I482" s="88"/>
      <c r="J482" s="88"/>
      <c r="K482" s="88"/>
      <c r="L482" s="88"/>
      <c r="M482" s="88"/>
    </row>
    <row r="483">
      <c r="A483" s="133"/>
      <c r="B483" s="133"/>
      <c r="C483" s="133"/>
      <c r="D483" s="133"/>
      <c r="E483" s="133"/>
      <c r="F483" s="133"/>
      <c r="G483" s="88"/>
      <c r="H483" s="88"/>
      <c r="I483" s="88"/>
      <c r="J483" s="88"/>
      <c r="K483" s="88"/>
      <c r="L483" s="88"/>
      <c r="M483" s="88"/>
    </row>
    <row r="484">
      <c r="A484" s="133"/>
      <c r="B484" s="133"/>
      <c r="C484" s="133"/>
      <c r="D484" s="133"/>
      <c r="E484" s="133"/>
      <c r="F484" s="133"/>
      <c r="G484" s="88"/>
      <c r="H484" s="88"/>
      <c r="I484" s="88"/>
      <c r="J484" s="88"/>
      <c r="K484" s="88"/>
      <c r="L484" s="88"/>
      <c r="M484" s="88"/>
    </row>
    <row r="485">
      <c r="A485" s="133"/>
      <c r="B485" s="133"/>
      <c r="C485" s="133"/>
      <c r="D485" s="133"/>
      <c r="E485" s="133"/>
      <c r="F485" s="133"/>
      <c r="G485" s="88"/>
      <c r="H485" s="88"/>
      <c r="I485" s="88"/>
      <c r="J485" s="88"/>
      <c r="K485" s="88"/>
      <c r="L485" s="88"/>
      <c r="M485" s="88"/>
    </row>
    <row r="486">
      <c r="A486" s="133"/>
      <c r="B486" s="133"/>
      <c r="C486" s="133"/>
      <c r="D486" s="133"/>
      <c r="E486" s="133"/>
      <c r="F486" s="133"/>
      <c r="G486" s="88"/>
      <c r="H486" s="88"/>
      <c r="I486" s="88"/>
      <c r="J486" s="88"/>
      <c r="K486" s="88"/>
      <c r="L486" s="88"/>
      <c r="M486" s="88"/>
    </row>
    <row r="487">
      <c r="A487" s="133"/>
      <c r="B487" s="133"/>
      <c r="C487" s="133"/>
      <c r="D487" s="133"/>
      <c r="E487" s="133"/>
      <c r="F487" s="133"/>
      <c r="G487" s="88"/>
      <c r="H487" s="88"/>
      <c r="I487" s="88"/>
      <c r="J487" s="88"/>
      <c r="K487" s="88"/>
      <c r="L487" s="88"/>
      <c r="M487" s="88"/>
    </row>
    <row r="488">
      <c r="A488" s="133"/>
      <c r="B488" s="133"/>
      <c r="C488" s="133"/>
      <c r="D488" s="133"/>
      <c r="E488" s="133"/>
      <c r="F488" s="133"/>
      <c r="G488" s="88"/>
      <c r="H488" s="88"/>
      <c r="I488" s="88"/>
      <c r="J488" s="88"/>
      <c r="K488" s="88"/>
      <c r="L488" s="88"/>
      <c r="M488" s="88"/>
    </row>
    <row r="489">
      <c r="A489" s="133"/>
      <c r="B489" s="133"/>
      <c r="C489" s="133"/>
      <c r="D489" s="133"/>
      <c r="E489" s="133"/>
      <c r="F489" s="133"/>
      <c r="G489" s="88"/>
      <c r="H489" s="88"/>
      <c r="I489" s="88"/>
      <c r="J489" s="88"/>
      <c r="K489" s="88"/>
      <c r="L489" s="88"/>
      <c r="M489" s="88"/>
    </row>
    <row r="490">
      <c r="A490" s="133"/>
      <c r="B490" s="133"/>
      <c r="C490" s="133"/>
      <c r="D490" s="133"/>
      <c r="E490" s="133"/>
      <c r="F490" s="133"/>
      <c r="G490" s="88"/>
      <c r="H490" s="88"/>
      <c r="I490" s="88"/>
      <c r="J490" s="88"/>
      <c r="K490" s="88"/>
      <c r="L490" s="88"/>
      <c r="M490" s="88"/>
    </row>
    <row r="491">
      <c r="A491" s="133"/>
      <c r="B491" s="133"/>
      <c r="C491" s="133"/>
      <c r="D491" s="133"/>
      <c r="E491" s="133"/>
      <c r="F491" s="133"/>
      <c r="G491" s="88"/>
      <c r="H491" s="88"/>
      <c r="I491" s="88"/>
      <c r="J491" s="88"/>
      <c r="K491" s="88"/>
      <c r="L491" s="88"/>
      <c r="M491" s="88"/>
    </row>
    <row r="492">
      <c r="A492" s="133"/>
      <c r="B492" s="133"/>
      <c r="C492" s="133"/>
      <c r="D492" s="133"/>
      <c r="E492" s="133"/>
      <c r="F492" s="133"/>
      <c r="G492" s="88"/>
      <c r="H492" s="88"/>
      <c r="I492" s="88"/>
      <c r="J492" s="88"/>
      <c r="K492" s="88"/>
      <c r="L492" s="88"/>
      <c r="M492" s="88"/>
    </row>
    <row r="493">
      <c r="A493" s="133"/>
      <c r="B493" s="133"/>
      <c r="C493" s="133"/>
      <c r="D493" s="133"/>
      <c r="E493" s="133"/>
      <c r="F493" s="133"/>
      <c r="G493" s="88"/>
      <c r="H493" s="88"/>
      <c r="I493" s="88"/>
      <c r="J493" s="88"/>
      <c r="K493" s="88"/>
      <c r="L493" s="88"/>
      <c r="M493" s="88"/>
    </row>
    <row r="494">
      <c r="A494" s="133"/>
      <c r="B494" s="133"/>
      <c r="C494" s="133"/>
      <c r="D494" s="133"/>
      <c r="E494" s="133"/>
      <c r="F494" s="133"/>
      <c r="G494" s="88"/>
      <c r="H494" s="88"/>
      <c r="I494" s="88"/>
      <c r="J494" s="88"/>
      <c r="K494" s="88"/>
      <c r="L494" s="88"/>
      <c r="M494" s="88"/>
    </row>
    <row r="495">
      <c r="A495" s="133"/>
      <c r="B495" s="133"/>
      <c r="C495" s="133"/>
      <c r="D495" s="133"/>
      <c r="E495" s="133"/>
      <c r="F495" s="133"/>
      <c r="G495" s="88"/>
      <c r="H495" s="88"/>
      <c r="I495" s="88"/>
      <c r="J495" s="88"/>
      <c r="K495" s="88"/>
      <c r="L495" s="88"/>
      <c r="M495" s="88"/>
    </row>
    <row r="496">
      <c r="A496" s="133"/>
      <c r="B496" s="133"/>
      <c r="C496" s="133"/>
      <c r="D496" s="133"/>
      <c r="E496" s="133"/>
      <c r="F496" s="133"/>
      <c r="G496" s="88"/>
      <c r="H496" s="88"/>
      <c r="I496" s="88"/>
      <c r="J496" s="88"/>
      <c r="K496" s="88"/>
      <c r="L496" s="88"/>
      <c r="M496" s="88"/>
    </row>
    <row r="497">
      <c r="A497" s="133"/>
      <c r="B497" s="133"/>
      <c r="C497" s="133"/>
      <c r="D497" s="133"/>
      <c r="E497" s="133"/>
      <c r="F497" s="133"/>
      <c r="G497" s="88"/>
      <c r="H497" s="88"/>
      <c r="I497" s="88"/>
      <c r="J497" s="88"/>
      <c r="K497" s="88"/>
      <c r="L497" s="88"/>
      <c r="M497" s="88"/>
    </row>
    <row r="498">
      <c r="A498" s="133"/>
      <c r="B498" s="133"/>
      <c r="C498" s="133"/>
      <c r="D498" s="133"/>
      <c r="E498" s="133"/>
      <c r="F498" s="133"/>
      <c r="G498" s="88"/>
      <c r="H498" s="88"/>
      <c r="I498" s="88"/>
      <c r="J498" s="88"/>
      <c r="K498" s="88"/>
      <c r="L498" s="88"/>
      <c r="M498" s="88"/>
    </row>
    <row r="499">
      <c r="A499" s="133"/>
      <c r="B499" s="133"/>
      <c r="C499" s="133"/>
      <c r="D499" s="133"/>
      <c r="E499" s="133"/>
      <c r="F499" s="133"/>
      <c r="G499" s="88"/>
      <c r="H499" s="88"/>
      <c r="I499" s="88"/>
      <c r="J499" s="88"/>
      <c r="K499" s="88"/>
      <c r="L499" s="88"/>
      <c r="M499" s="88"/>
    </row>
    <row r="500">
      <c r="A500" s="133"/>
      <c r="B500" s="133"/>
      <c r="C500" s="133"/>
      <c r="D500" s="133"/>
      <c r="E500" s="133"/>
      <c r="F500" s="133"/>
      <c r="G500" s="88"/>
      <c r="H500" s="88"/>
      <c r="I500" s="88"/>
      <c r="J500" s="88"/>
      <c r="K500" s="88"/>
      <c r="L500" s="88"/>
      <c r="M500" s="88"/>
    </row>
    <row r="501">
      <c r="A501" s="133"/>
      <c r="B501" s="133"/>
      <c r="C501" s="133"/>
      <c r="D501" s="133"/>
      <c r="E501" s="133"/>
      <c r="F501" s="133"/>
      <c r="G501" s="88"/>
      <c r="H501" s="88"/>
      <c r="I501" s="88"/>
      <c r="J501" s="88"/>
      <c r="K501" s="88"/>
      <c r="L501" s="88"/>
      <c r="M501" s="88"/>
    </row>
    <row r="502">
      <c r="A502" s="133"/>
      <c r="B502" s="133"/>
      <c r="C502" s="133"/>
      <c r="D502" s="133"/>
      <c r="E502" s="133"/>
      <c r="F502" s="133"/>
      <c r="G502" s="88"/>
      <c r="H502" s="88"/>
      <c r="I502" s="88"/>
      <c r="J502" s="88"/>
      <c r="K502" s="88"/>
      <c r="L502" s="88"/>
      <c r="M502" s="88"/>
    </row>
    <row r="503">
      <c r="A503" s="133"/>
      <c r="B503" s="133"/>
      <c r="C503" s="133"/>
      <c r="D503" s="133"/>
      <c r="E503" s="133"/>
      <c r="F503" s="133"/>
      <c r="G503" s="88"/>
      <c r="H503" s="88"/>
      <c r="I503" s="88"/>
      <c r="J503" s="88"/>
      <c r="K503" s="88"/>
      <c r="L503" s="88"/>
      <c r="M503" s="88"/>
    </row>
    <row r="504">
      <c r="A504" s="133"/>
      <c r="B504" s="133"/>
      <c r="C504" s="133"/>
      <c r="D504" s="133"/>
      <c r="E504" s="133"/>
      <c r="F504" s="133"/>
      <c r="G504" s="88"/>
      <c r="H504" s="88"/>
      <c r="I504" s="88"/>
      <c r="J504" s="88"/>
      <c r="K504" s="88"/>
      <c r="L504" s="88"/>
      <c r="M504" s="88"/>
    </row>
    <row r="505">
      <c r="A505" s="133"/>
      <c r="B505" s="133"/>
      <c r="C505" s="133"/>
      <c r="D505" s="133"/>
      <c r="E505" s="133"/>
      <c r="F505" s="133"/>
      <c r="G505" s="88"/>
      <c r="H505" s="88"/>
      <c r="I505" s="88"/>
      <c r="J505" s="88"/>
      <c r="K505" s="88"/>
      <c r="L505" s="88"/>
      <c r="M505" s="88"/>
    </row>
    <row r="506">
      <c r="A506" s="133"/>
      <c r="B506" s="133"/>
      <c r="C506" s="133"/>
      <c r="D506" s="133"/>
      <c r="E506" s="133"/>
      <c r="F506" s="133"/>
      <c r="G506" s="88"/>
      <c r="H506" s="88"/>
      <c r="I506" s="88"/>
      <c r="J506" s="88"/>
      <c r="K506" s="88"/>
      <c r="L506" s="88"/>
      <c r="M506" s="88"/>
    </row>
    <row r="507">
      <c r="A507" s="133"/>
      <c r="B507" s="133"/>
      <c r="C507" s="133"/>
      <c r="D507" s="133"/>
      <c r="E507" s="133"/>
      <c r="F507" s="133"/>
      <c r="G507" s="88"/>
      <c r="H507" s="88"/>
      <c r="I507" s="88"/>
      <c r="J507" s="88"/>
      <c r="K507" s="88"/>
      <c r="L507" s="88"/>
      <c r="M507" s="88"/>
    </row>
    <row r="508">
      <c r="A508" s="133"/>
      <c r="B508" s="133"/>
      <c r="C508" s="133"/>
      <c r="D508" s="133"/>
      <c r="E508" s="133"/>
      <c r="F508" s="133"/>
      <c r="G508" s="88"/>
      <c r="H508" s="88"/>
      <c r="I508" s="88"/>
      <c r="J508" s="88"/>
      <c r="K508" s="88"/>
      <c r="L508" s="88"/>
      <c r="M508" s="88"/>
    </row>
    <row r="509">
      <c r="A509" s="133"/>
      <c r="B509" s="133"/>
      <c r="C509" s="133"/>
      <c r="D509" s="133"/>
      <c r="E509" s="133"/>
      <c r="F509" s="133"/>
      <c r="G509" s="88"/>
      <c r="H509" s="88"/>
      <c r="I509" s="88"/>
      <c r="J509" s="88"/>
      <c r="K509" s="88"/>
      <c r="L509" s="88"/>
      <c r="M509" s="88"/>
    </row>
    <row r="510">
      <c r="A510" s="133"/>
      <c r="B510" s="133"/>
      <c r="C510" s="133"/>
      <c r="D510" s="133"/>
      <c r="E510" s="133"/>
      <c r="F510" s="133"/>
      <c r="G510" s="88"/>
      <c r="H510" s="88"/>
      <c r="I510" s="88"/>
      <c r="J510" s="88"/>
      <c r="K510" s="88"/>
      <c r="L510" s="88"/>
      <c r="M510" s="88"/>
    </row>
    <row r="511">
      <c r="A511" s="133"/>
      <c r="B511" s="133"/>
      <c r="C511" s="133"/>
      <c r="D511" s="133"/>
      <c r="E511" s="133"/>
      <c r="F511" s="133"/>
      <c r="G511" s="88"/>
      <c r="H511" s="88"/>
      <c r="I511" s="88"/>
      <c r="J511" s="88"/>
      <c r="K511" s="88"/>
      <c r="L511" s="88"/>
      <c r="M511" s="88"/>
    </row>
    <row r="512">
      <c r="A512" s="133"/>
      <c r="B512" s="133"/>
      <c r="C512" s="133"/>
      <c r="D512" s="133"/>
      <c r="E512" s="133"/>
      <c r="F512" s="133"/>
      <c r="G512" s="88"/>
      <c r="H512" s="88"/>
      <c r="I512" s="88"/>
      <c r="J512" s="88"/>
      <c r="K512" s="88"/>
      <c r="L512" s="88"/>
      <c r="M512" s="88"/>
    </row>
    <row r="513">
      <c r="A513" s="133"/>
      <c r="B513" s="133"/>
      <c r="C513" s="133"/>
      <c r="D513" s="133"/>
      <c r="E513" s="133"/>
      <c r="F513" s="133"/>
      <c r="G513" s="88"/>
      <c r="H513" s="88"/>
      <c r="I513" s="88"/>
      <c r="J513" s="88"/>
      <c r="K513" s="88"/>
      <c r="L513" s="88"/>
      <c r="M513" s="88"/>
    </row>
    <row r="514">
      <c r="A514" s="133"/>
      <c r="B514" s="133"/>
      <c r="C514" s="133"/>
      <c r="D514" s="133"/>
      <c r="E514" s="133"/>
      <c r="F514" s="133"/>
      <c r="G514" s="88"/>
      <c r="H514" s="88"/>
      <c r="I514" s="88"/>
      <c r="J514" s="88"/>
      <c r="K514" s="88"/>
      <c r="L514" s="88"/>
      <c r="M514" s="88"/>
    </row>
    <row r="515">
      <c r="A515" s="133"/>
      <c r="B515" s="133"/>
      <c r="C515" s="133"/>
      <c r="D515" s="133"/>
      <c r="E515" s="133"/>
      <c r="F515" s="133"/>
      <c r="G515" s="88"/>
      <c r="H515" s="88"/>
      <c r="I515" s="88"/>
      <c r="J515" s="88"/>
      <c r="K515" s="88"/>
      <c r="L515" s="88"/>
      <c r="M515" s="88"/>
    </row>
    <row r="516">
      <c r="A516" s="133"/>
      <c r="B516" s="133"/>
      <c r="C516" s="133"/>
      <c r="D516" s="133"/>
      <c r="E516" s="133"/>
      <c r="F516" s="133"/>
      <c r="G516" s="88"/>
      <c r="H516" s="88"/>
      <c r="I516" s="88"/>
      <c r="J516" s="88"/>
      <c r="K516" s="88"/>
      <c r="L516" s="88"/>
      <c r="M516" s="88"/>
    </row>
    <row r="517">
      <c r="A517" s="133"/>
      <c r="B517" s="133"/>
      <c r="C517" s="133"/>
      <c r="D517" s="133"/>
      <c r="E517" s="133"/>
      <c r="F517" s="133"/>
      <c r="G517" s="88"/>
      <c r="H517" s="88"/>
      <c r="I517" s="88"/>
      <c r="J517" s="88"/>
      <c r="K517" s="88"/>
      <c r="L517" s="88"/>
      <c r="M517" s="88"/>
    </row>
    <row r="518">
      <c r="A518" s="133"/>
      <c r="B518" s="133"/>
      <c r="C518" s="133"/>
      <c r="D518" s="133"/>
      <c r="E518" s="133"/>
      <c r="F518" s="133"/>
      <c r="G518" s="88"/>
      <c r="H518" s="88"/>
      <c r="I518" s="88"/>
      <c r="J518" s="88"/>
      <c r="K518" s="88"/>
      <c r="L518" s="88"/>
      <c r="M518" s="88"/>
    </row>
    <row r="519">
      <c r="A519" s="133"/>
      <c r="B519" s="133"/>
      <c r="C519" s="133"/>
      <c r="D519" s="133"/>
      <c r="E519" s="133"/>
      <c r="F519" s="133"/>
      <c r="G519" s="88"/>
      <c r="H519" s="88"/>
      <c r="I519" s="88"/>
      <c r="J519" s="88"/>
      <c r="K519" s="88"/>
      <c r="L519" s="88"/>
      <c r="M519" s="88"/>
    </row>
    <row r="520">
      <c r="A520" s="133"/>
      <c r="B520" s="133"/>
      <c r="C520" s="133"/>
      <c r="D520" s="133"/>
      <c r="E520" s="133"/>
      <c r="F520" s="133"/>
      <c r="G520" s="88"/>
      <c r="H520" s="88"/>
      <c r="I520" s="88"/>
      <c r="J520" s="88"/>
      <c r="K520" s="88"/>
      <c r="L520" s="88"/>
      <c r="M520" s="88"/>
    </row>
    <row r="521">
      <c r="A521" s="133"/>
      <c r="B521" s="133"/>
      <c r="C521" s="133"/>
      <c r="D521" s="133"/>
      <c r="E521" s="133"/>
      <c r="F521" s="133"/>
      <c r="G521" s="88"/>
      <c r="H521" s="88"/>
      <c r="I521" s="88"/>
      <c r="J521" s="88"/>
      <c r="K521" s="88"/>
      <c r="L521" s="88"/>
      <c r="M521" s="88"/>
    </row>
    <row r="522">
      <c r="A522" s="133"/>
      <c r="B522" s="133"/>
      <c r="C522" s="133"/>
      <c r="D522" s="133"/>
      <c r="E522" s="133"/>
      <c r="F522" s="133"/>
      <c r="G522" s="88"/>
      <c r="H522" s="88"/>
      <c r="I522" s="88"/>
      <c r="J522" s="88"/>
      <c r="K522" s="88"/>
      <c r="L522" s="88"/>
      <c r="M522" s="88"/>
    </row>
    <row r="523">
      <c r="A523" s="133"/>
      <c r="B523" s="133"/>
      <c r="C523" s="133"/>
      <c r="D523" s="133"/>
      <c r="E523" s="133"/>
      <c r="F523" s="133"/>
      <c r="G523" s="88"/>
      <c r="H523" s="88"/>
      <c r="I523" s="88"/>
      <c r="J523" s="88"/>
      <c r="K523" s="88"/>
      <c r="L523" s="88"/>
      <c r="M523" s="88"/>
    </row>
    <row r="524">
      <c r="A524" s="133"/>
      <c r="B524" s="133"/>
      <c r="C524" s="133"/>
      <c r="D524" s="133"/>
      <c r="E524" s="133"/>
      <c r="F524" s="133"/>
      <c r="G524" s="88"/>
      <c r="H524" s="88"/>
      <c r="I524" s="88"/>
      <c r="J524" s="88"/>
      <c r="K524" s="88"/>
      <c r="L524" s="88"/>
      <c r="M524" s="88"/>
    </row>
    <row r="525">
      <c r="A525" s="133"/>
      <c r="B525" s="133"/>
      <c r="C525" s="133"/>
      <c r="D525" s="133"/>
      <c r="E525" s="133"/>
      <c r="F525" s="133"/>
      <c r="G525" s="88"/>
      <c r="H525" s="88"/>
      <c r="I525" s="88"/>
      <c r="J525" s="88"/>
      <c r="K525" s="88"/>
      <c r="L525" s="88"/>
      <c r="M525" s="88"/>
    </row>
    <row r="526">
      <c r="A526" s="133"/>
      <c r="B526" s="133"/>
      <c r="C526" s="133"/>
      <c r="D526" s="133"/>
      <c r="E526" s="133"/>
      <c r="F526" s="133"/>
      <c r="G526" s="88"/>
      <c r="H526" s="88"/>
      <c r="I526" s="88"/>
      <c r="J526" s="88"/>
      <c r="K526" s="88"/>
      <c r="L526" s="88"/>
      <c r="M526" s="88"/>
    </row>
    <row r="527">
      <c r="A527" s="133"/>
      <c r="B527" s="133"/>
      <c r="C527" s="133"/>
      <c r="D527" s="133"/>
      <c r="E527" s="133"/>
      <c r="F527" s="133"/>
      <c r="G527" s="88"/>
      <c r="H527" s="88"/>
      <c r="I527" s="88"/>
      <c r="J527" s="88"/>
      <c r="K527" s="88"/>
      <c r="L527" s="88"/>
      <c r="M527" s="88"/>
    </row>
    <row r="528">
      <c r="A528" s="133"/>
      <c r="B528" s="133"/>
      <c r="C528" s="133"/>
      <c r="D528" s="133"/>
      <c r="E528" s="133"/>
      <c r="F528" s="133"/>
      <c r="G528" s="88"/>
      <c r="H528" s="88"/>
      <c r="I528" s="88"/>
      <c r="J528" s="88"/>
      <c r="K528" s="88"/>
      <c r="L528" s="88"/>
      <c r="M528" s="88"/>
    </row>
    <row r="529">
      <c r="A529" s="133"/>
      <c r="B529" s="133"/>
      <c r="C529" s="133"/>
      <c r="D529" s="133"/>
      <c r="E529" s="133"/>
      <c r="F529" s="133"/>
      <c r="G529" s="88"/>
      <c r="H529" s="88"/>
      <c r="I529" s="88"/>
      <c r="J529" s="88"/>
      <c r="K529" s="88"/>
      <c r="L529" s="88"/>
      <c r="M529" s="88"/>
    </row>
    <row r="530">
      <c r="A530" s="133"/>
      <c r="B530" s="133"/>
      <c r="C530" s="133"/>
      <c r="D530" s="133"/>
      <c r="E530" s="133"/>
      <c r="F530" s="133"/>
      <c r="G530" s="88"/>
      <c r="H530" s="88"/>
      <c r="I530" s="88"/>
      <c r="J530" s="88"/>
      <c r="K530" s="88"/>
      <c r="L530" s="88"/>
      <c r="M530" s="88"/>
    </row>
    <row r="531">
      <c r="A531" s="133"/>
      <c r="B531" s="133"/>
      <c r="C531" s="133"/>
      <c r="D531" s="133"/>
      <c r="E531" s="133"/>
      <c r="F531" s="133"/>
      <c r="G531" s="88"/>
      <c r="H531" s="88"/>
      <c r="I531" s="88"/>
      <c r="J531" s="88"/>
      <c r="K531" s="88"/>
      <c r="L531" s="88"/>
      <c r="M531" s="88"/>
    </row>
    <row r="532">
      <c r="A532" s="133"/>
      <c r="B532" s="133"/>
      <c r="C532" s="133"/>
      <c r="D532" s="133"/>
      <c r="E532" s="133"/>
      <c r="F532" s="133"/>
      <c r="G532" s="88"/>
      <c r="H532" s="88"/>
      <c r="I532" s="88"/>
      <c r="J532" s="88"/>
      <c r="K532" s="88"/>
      <c r="L532" s="88"/>
      <c r="M532" s="88"/>
    </row>
    <row r="533">
      <c r="A533" s="133"/>
      <c r="B533" s="133"/>
      <c r="C533" s="133"/>
      <c r="D533" s="133"/>
      <c r="E533" s="133"/>
      <c r="F533" s="133"/>
      <c r="G533" s="88"/>
      <c r="H533" s="88"/>
      <c r="I533" s="88"/>
      <c r="J533" s="88"/>
      <c r="K533" s="88"/>
      <c r="L533" s="88"/>
      <c r="M533" s="88"/>
    </row>
    <row r="534">
      <c r="A534" s="133"/>
      <c r="B534" s="133"/>
      <c r="C534" s="133"/>
      <c r="D534" s="133"/>
      <c r="E534" s="133"/>
      <c r="F534" s="133"/>
      <c r="G534" s="88"/>
      <c r="H534" s="88"/>
      <c r="I534" s="88"/>
      <c r="J534" s="88"/>
      <c r="K534" s="88"/>
      <c r="L534" s="88"/>
      <c r="M534" s="88"/>
    </row>
    <row r="535">
      <c r="A535" s="133"/>
      <c r="B535" s="133"/>
      <c r="C535" s="133"/>
      <c r="D535" s="133"/>
      <c r="E535" s="133"/>
      <c r="F535" s="133"/>
      <c r="G535" s="88"/>
      <c r="H535" s="88"/>
      <c r="I535" s="88"/>
      <c r="J535" s="88"/>
      <c r="K535" s="88"/>
      <c r="L535" s="88"/>
      <c r="M535" s="88"/>
    </row>
    <row r="536">
      <c r="A536" s="133"/>
      <c r="B536" s="133"/>
      <c r="C536" s="133"/>
      <c r="D536" s="133"/>
      <c r="E536" s="133"/>
      <c r="F536" s="133"/>
      <c r="G536" s="88"/>
      <c r="H536" s="88"/>
      <c r="I536" s="88"/>
      <c r="J536" s="88"/>
      <c r="K536" s="88"/>
      <c r="L536" s="88"/>
      <c r="M536" s="88"/>
    </row>
    <row r="537">
      <c r="A537" s="133"/>
      <c r="B537" s="133"/>
      <c r="C537" s="133"/>
      <c r="D537" s="133"/>
      <c r="E537" s="133"/>
      <c r="F537" s="133"/>
      <c r="G537" s="88"/>
      <c r="H537" s="88"/>
      <c r="I537" s="88"/>
      <c r="J537" s="88"/>
      <c r="K537" s="88"/>
      <c r="L537" s="88"/>
      <c r="M537" s="88"/>
    </row>
    <row r="538">
      <c r="A538" s="133"/>
      <c r="B538" s="133"/>
      <c r="C538" s="133"/>
      <c r="D538" s="133"/>
      <c r="E538" s="133"/>
      <c r="F538" s="133"/>
      <c r="G538" s="88"/>
      <c r="H538" s="88"/>
      <c r="I538" s="88"/>
      <c r="J538" s="88"/>
      <c r="K538" s="88"/>
      <c r="L538" s="88"/>
      <c r="M538" s="88"/>
    </row>
    <row r="539">
      <c r="A539" s="133"/>
      <c r="B539" s="133"/>
      <c r="C539" s="133"/>
      <c r="D539" s="133"/>
      <c r="E539" s="133"/>
      <c r="F539" s="133"/>
      <c r="G539" s="88"/>
      <c r="H539" s="88"/>
      <c r="I539" s="88"/>
      <c r="J539" s="88"/>
      <c r="K539" s="88"/>
      <c r="L539" s="88"/>
      <c r="M539" s="88"/>
    </row>
    <row r="540">
      <c r="A540" s="133"/>
      <c r="B540" s="133"/>
      <c r="C540" s="133"/>
      <c r="D540" s="133"/>
      <c r="E540" s="133"/>
      <c r="F540" s="133"/>
      <c r="G540" s="88"/>
      <c r="H540" s="88"/>
      <c r="I540" s="88"/>
      <c r="J540" s="88"/>
      <c r="K540" s="88"/>
      <c r="L540" s="88"/>
      <c r="M540" s="88"/>
    </row>
    <row r="541">
      <c r="A541" s="133"/>
      <c r="B541" s="133"/>
      <c r="C541" s="133"/>
      <c r="D541" s="133"/>
      <c r="E541" s="133"/>
      <c r="F541" s="133"/>
      <c r="G541" s="88"/>
      <c r="H541" s="88"/>
      <c r="I541" s="88"/>
      <c r="J541" s="88"/>
      <c r="K541" s="88"/>
      <c r="L541" s="88"/>
      <c r="M541" s="88"/>
    </row>
    <row r="542">
      <c r="A542" s="133"/>
      <c r="B542" s="133"/>
      <c r="C542" s="133"/>
      <c r="D542" s="133"/>
      <c r="E542" s="133"/>
      <c r="F542" s="133"/>
      <c r="G542" s="88"/>
      <c r="H542" s="88"/>
      <c r="I542" s="88"/>
      <c r="J542" s="88"/>
      <c r="K542" s="88"/>
      <c r="L542" s="88"/>
      <c r="M542" s="88"/>
    </row>
    <row r="543">
      <c r="A543" s="133"/>
      <c r="B543" s="133"/>
      <c r="C543" s="133"/>
      <c r="D543" s="133"/>
      <c r="E543" s="133"/>
      <c r="F543" s="133"/>
      <c r="G543" s="88"/>
      <c r="H543" s="88"/>
      <c r="I543" s="88"/>
      <c r="J543" s="88"/>
      <c r="K543" s="88"/>
      <c r="L543" s="88"/>
      <c r="M543" s="88"/>
    </row>
    <row r="544">
      <c r="A544" s="133"/>
      <c r="B544" s="133"/>
      <c r="C544" s="133"/>
      <c r="D544" s="133"/>
      <c r="E544" s="133"/>
      <c r="F544" s="133"/>
      <c r="G544" s="88"/>
      <c r="H544" s="88"/>
      <c r="I544" s="88"/>
      <c r="J544" s="88"/>
      <c r="K544" s="88"/>
      <c r="L544" s="88"/>
      <c r="M544" s="88"/>
    </row>
    <row r="545">
      <c r="A545" s="133"/>
      <c r="B545" s="133"/>
      <c r="C545" s="133"/>
      <c r="D545" s="133"/>
      <c r="E545" s="133"/>
      <c r="F545" s="133"/>
      <c r="G545" s="88"/>
      <c r="H545" s="88"/>
      <c r="I545" s="88"/>
      <c r="J545" s="88"/>
      <c r="K545" s="88"/>
      <c r="L545" s="88"/>
      <c r="M545" s="88"/>
    </row>
    <row r="546">
      <c r="A546" s="133"/>
      <c r="B546" s="133"/>
      <c r="C546" s="133"/>
      <c r="D546" s="133"/>
      <c r="E546" s="133"/>
      <c r="F546" s="133"/>
      <c r="G546" s="88"/>
      <c r="H546" s="88"/>
      <c r="I546" s="88"/>
      <c r="J546" s="88"/>
      <c r="K546" s="88"/>
      <c r="L546" s="88"/>
      <c r="M546" s="88"/>
    </row>
    <row r="547">
      <c r="A547" s="133"/>
      <c r="B547" s="133"/>
      <c r="C547" s="133"/>
      <c r="D547" s="133"/>
      <c r="E547" s="133"/>
      <c r="F547" s="133"/>
      <c r="G547" s="88"/>
      <c r="H547" s="88"/>
      <c r="I547" s="88"/>
      <c r="J547" s="88"/>
      <c r="K547" s="88"/>
      <c r="L547" s="88"/>
      <c r="M547" s="88"/>
    </row>
    <row r="548">
      <c r="A548" s="133"/>
      <c r="B548" s="133"/>
      <c r="C548" s="133"/>
      <c r="D548" s="133"/>
      <c r="E548" s="133"/>
      <c r="F548" s="133"/>
      <c r="G548" s="88"/>
      <c r="H548" s="88"/>
      <c r="I548" s="88"/>
      <c r="J548" s="88"/>
      <c r="K548" s="88"/>
      <c r="L548" s="88"/>
      <c r="M548" s="88"/>
    </row>
    <row r="549">
      <c r="A549" s="133"/>
      <c r="B549" s="133"/>
      <c r="C549" s="133"/>
      <c r="D549" s="133"/>
      <c r="E549" s="133"/>
      <c r="F549" s="133"/>
      <c r="G549" s="88"/>
      <c r="H549" s="88"/>
      <c r="I549" s="88"/>
      <c r="J549" s="88"/>
      <c r="K549" s="88"/>
      <c r="L549" s="88"/>
      <c r="M549" s="88"/>
    </row>
    <row r="550">
      <c r="A550" s="133"/>
      <c r="B550" s="133"/>
      <c r="C550" s="133"/>
      <c r="D550" s="133"/>
      <c r="E550" s="133"/>
      <c r="F550" s="133"/>
      <c r="G550" s="88"/>
      <c r="H550" s="88"/>
      <c r="I550" s="88"/>
      <c r="J550" s="88"/>
      <c r="K550" s="88"/>
      <c r="L550" s="88"/>
      <c r="M550" s="88"/>
    </row>
    <row r="551">
      <c r="A551" s="133"/>
      <c r="B551" s="133"/>
      <c r="C551" s="133"/>
      <c r="D551" s="133"/>
      <c r="E551" s="133"/>
      <c r="F551" s="133"/>
      <c r="G551" s="88"/>
      <c r="H551" s="88"/>
      <c r="I551" s="88"/>
      <c r="J551" s="88"/>
      <c r="K551" s="88"/>
      <c r="L551" s="88"/>
      <c r="M551" s="88"/>
    </row>
    <row r="552">
      <c r="A552" s="133"/>
      <c r="B552" s="133"/>
      <c r="C552" s="133"/>
      <c r="D552" s="133"/>
      <c r="E552" s="133"/>
      <c r="F552" s="133"/>
      <c r="G552" s="88"/>
      <c r="H552" s="88"/>
      <c r="I552" s="88"/>
      <c r="J552" s="88"/>
      <c r="K552" s="88"/>
      <c r="L552" s="88"/>
      <c r="M552" s="88"/>
    </row>
    <row r="553">
      <c r="A553" s="133"/>
      <c r="B553" s="133"/>
      <c r="C553" s="133"/>
      <c r="D553" s="133"/>
      <c r="E553" s="133"/>
      <c r="F553" s="133"/>
      <c r="G553" s="88"/>
      <c r="H553" s="88"/>
      <c r="I553" s="88"/>
      <c r="J553" s="88"/>
      <c r="K553" s="88"/>
      <c r="L553" s="88"/>
      <c r="M553" s="88"/>
    </row>
    <row r="554">
      <c r="A554" s="133"/>
      <c r="B554" s="133"/>
      <c r="C554" s="133"/>
      <c r="D554" s="133"/>
      <c r="E554" s="133"/>
      <c r="F554" s="133"/>
      <c r="G554" s="88"/>
      <c r="H554" s="88"/>
      <c r="I554" s="88"/>
      <c r="J554" s="88"/>
      <c r="K554" s="88"/>
      <c r="L554" s="88"/>
      <c r="M554" s="88"/>
    </row>
    <row r="555">
      <c r="A555" s="133"/>
      <c r="B555" s="133"/>
      <c r="C555" s="133"/>
      <c r="D555" s="133"/>
      <c r="E555" s="133"/>
      <c r="F555" s="133"/>
      <c r="G555" s="88"/>
      <c r="H555" s="88"/>
      <c r="I555" s="88"/>
      <c r="J555" s="88"/>
      <c r="K555" s="88"/>
      <c r="L555" s="88"/>
      <c r="M555" s="88"/>
    </row>
    <row r="556">
      <c r="A556" s="133"/>
      <c r="B556" s="133"/>
      <c r="C556" s="133"/>
      <c r="D556" s="133"/>
      <c r="E556" s="133"/>
      <c r="F556" s="133"/>
      <c r="G556" s="88"/>
      <c r="H556" s="88"/>
      <c r="I556" s="88"/>
      <c r="J556" s="88"/>
      <c r="K556" s="88"/>
      <c r="L556" s="88"/>
      <c r="M556" s="88"/>
    </row>
    <row r="557">
      <c r="A557" s="133"/>
      <c r="B557" s="133"/>
      <c r="C557" s="133"/>
      <c r="D557" s="133"/>
      <c r="E557" s="133"/>
      <c r="F557" s="133"/>
      <c r="G557" s="88"/>
      <c r="H557" s="88"/>
      <c r="I557" s="88"/>
      <c r="J557" s="88"/>
      <c r="K557" s="88"/>
      <c r="L557" s="88"/>
      <c r="M557" s="88"/>
    </row>
    <row r="558">
      <c r="A558" s="133"/>
      <c r="B558" s="133"/>
      <c r="C558" s="133"/>
      <c r="D558" s="133"/>
      <c r="E558" s="133"/>
      <c r="F558" s="133"/>
      <c r="G558" s="88"/>
      <c r="H558" s="88"/>
      <c r="I558" s="88"/>
      <c r="J558" s="88"/>
      <c r="K558" s="88"/>
      <c r="L558" s="88"/>
      <c r="M558" s="88"/>
    </row>
    <row r="559">
      <c r="A559" s="133"/>
      <c r="B559" s="133"/>
      <c r="C559" s="133"/>
      <c r="D559" s="133"/>
      <c r="E559" s="133"/>
      <c r="F559" s="133"/>
      <c r="G559" s="88"/>
      <c r="H559" s="88"/>
      <c r="I559" s="88"/>
      <c r="J559" s="88"/>
      <c r="K559" s="88"/>
      <c r="L559" s="88"/>
      <c r="M559" s="88"/>
    </row>
    <row r="560">
      <c r="A560" s="133"/>
      <c r="B560" s="133"/>
      <c r="C560" s="133"/>
      <c r="D560" s="133"/>
      <c r="E560" s="133"/>
      <c r="F560" s="133"/>
      <c r="G560" s="88"/>
      <c r="H560" s="88"/>
      <c r="I560" s="88"/>
      <c r="J560" s="88"/>
      <c r="K560" s="88"/>
      <c r="L560" s="88"/>
      <c r="M560" s="88"/>
    </row>
    <row r="561">
      <c r="A561" s="133"/>
      <c r="B561" s="133"/>
      <c r="C561" s="133"/>
      <c r="D561" s="133"/>
      <c r="E561" s="133"/>
      <c r="F561" s="133"/>
      <c r="G561" s="88"/>
      <c r="H561" s="88"/>
      <c r="I561" s="88"/>
      <c r="J561" s="88"/>
      <c r="K561" s="88"/>
      <c r="L561" s="88"/>
      <c r="M561" s="88"/>
    </row>
    <row r="562">
      <c r="A562" s="133"/>
      <c r="B562" s="133"/>
      <c r="C562" s="133"/>
      <c r="D562" s="133"/>
      <c r="E562" s="133"/>
      <c r="F562" s="133"/>
      <c r="G562" s="88"/>
      <c r="H562" s="88"/>
      <c r="I562" s="88"/>
      <c r="J562" s="88"/>
      <c r="K562" s="88"/>
      <c r="L562" s="88"/>
      <c r="M562" s="88"/>
    </row>
    <row r="563">
      <c r="A563" s="133"/>
      <c r="B563" s="133"/>
      <c r="C563" s="133"/>
      <c r="D563" s="133"/>
      <c r="E563" s="133"/>
      <c r="F563" s="133"/>
      <c r="G563" s="88"/>
      <c r="H563" s="88"/>
      <c r="I563" s="88"/>
      <c r="J563" s="88"/>
      <c r="K563" s="88"/>
      <c r="L563" s="88"/>
      <c r="M563" s="88"/>
    </row>
    <row r="564">
      <c r="A564" s="133"/>
      <c r="B564" s="133"/>
      <c r="C564" s="133"/>
      <c r="D564" s="133"/>
      <c r="E564" s="133"/>
      <c r="F564" s="133"/>
      <c r="G564" s="88"/>
      <c r="H564" s="88"/>
      <c r="I564" s="88"/>
      <c r="J564" s="88"/>
      <c r="K564" s="88"/>
      <c r="L564" s="88"/>
      <c r="M564" s="88"/>
    </row>
    <row r="565">
      <c r="A565" s="133"/>
      <c r="B565" s="133"/>
      <c r="C565" s="133"/>
      <c r="D565" s="133"/>
      <c r="E565" s="133"/>
      <c r="F565" s="133"/>
      <c r="G565" s="88"/>
      <c r="H565" s="88"/>
      <c r="I565" s="88"/>
      <c r="J565" s="88"/>
      <c r="K565" s="88"/>
      <c r="L565" s="88"/>
      <c r="M565" s="88"/>
    </row>
    <row r="566">
      <c r="A566" s="133"/>
      <c r="B566" s="133"/>
      <c r="C566" s="133"/>
      <c r="D566" s="133"/>
      <c r="E566" s="133"/>
      <c r="F566" s="133"/>
      <c r="G566" s="88"/>
      <c r="H566" s="88"/>
      <c r="I566" s="88"/>
      <c r="J566" s="88"/>
      <c r="K566" s="88"/>
      <c r="L566" s="88"/>
      <c r="M566" s="88"/>
    </row>
    <row r="567">
      <c r="A567" s="133"/>
      <c r="B567" s="133"/>
      <c r="C567" s="133"/>
      <c r="D567" s="133"/>
      <c r="E567" s="133"/>
      <c r="F567" s="133"/>
      <c r="G567" s="88"/>
      <c r="H567" s="88"/>
      <c r="I567" s="88"/>
      <c r="J567" s="88"/>
      <c r="K567" s="88"/>
      <c r="L567" s="88"/>
      <c r="M567" s="88"/>
    </row>
    <row r="568">
      <c r="A568" s="133"/>
      <c r="B568" s="133"/>
      <c r="C568" s="133"/>
      <c r="D568" s="133"/>
      <c r="E568" s="133"/>
      <c r="F568" s="133"/>
      <c r="G568" s="88"/>
      <c r="H568" s="88"/>
      <c r="I568" s="88"/>
      <c r="J568" s="88"/>
      <c r="K568" s="88"/>
      <c r="L568" s="88"/>
      <c r="M568" s="88"/>
    </row>
    <row r="569">
      <c r="A569" s="133"/>
      <c r="B569" s="133"/>
      <c r="C569" s="133"/>
      <c r="D569" s="133"/>
      <c r="E569" s="133"/>
      <c r="F569" s="133"/>
      <c r="G569" s="88"/>
      <c r="H569" s="88"/>
      <c r="I569" s="88"/>
      <c r="J569" s="88"/>
      <c r="K569" s="88"/>
      <c r="L569" s="88"/>
      <c r="M569" s="88"/>
    </row>
    <row r="570">
      <c r="A570" s="133"/>
      <c r="B570" s="133"/>
      <c r="C570" s="133"/>
      <c r="D570" s="133"/>
      <c r="E570" s="133"/>
      <c r="F570" s="133"/>
      <c r="G570" s="88"/>
      <c r="H570" s="88"/>
      <c r="I570" s="88"/>
      <c r="J570" s="88"/>
      <c r="K570" s="88"/>
      <c r="L570" s="88"/>
      <c r="M570" s="88"/>
    </row>
    <row r="571">
      <c r="A571" s="133"/>
      <c r="B571" s="133"/>
      <c r="C571" s="133"/>
      <c r="D571" s="133"/>
      <c r="E571" s="133"/>
      <c r="F571" s="133"/>
      <c r="G571" s="88"/>
      <c r="H571" s="88"/>
      <c r="I571" s="88"/>
      <c r="J571" s="88"/>
      <c r="K571" s="88"/>
      <c r="L571" s="88"/>
      <c r="M571" s="88"/>
    </row>
    <row r="572">
      <c r="A572" s="133"/>
      <c r="B572" s="133"/>
      <c r="C572" s="133"/>
      <c r="D572" s="133"/>
      <c r="E572" s="133"/>
      <c r="F572" s="133"/>
      <c r="G572" s="88"/>
      <c r="H572" s="88"/>
      <c r="I572" s="88"/>
      <c r="J572" s="88"/>
      <c r="K572" s="88"/>
      <c r="L572" s="88"/>
      <c r="M572" s="88"/>
    </row>
    <row r="573">
      <c r="A573" s="133"/>
      <c r="B573" s="133"/>
      <c r="C573" s="133"/>
      <c r="D573" s="133"/>
      <c r="E573" s="133"/>
      <c r="F573" s="133"/>
      <c r="G573" s="88"/>
      <c r="H573" s="88"/>
      <c r="I573" s="88"/>
      <c r="J573" s="88"/>
      <c r="K573" s="88"/>
      <c r="L573" s="88"/>
      <c r="M573" s="88"/>
    </row>
    <row r="574">
      <c r="A574" s="133"/>
      <c r="B574" s="133"/>
      <c r="C574" s="133"/>
      <c r="D574" s="133"/>
      <c r="E574" s="133"/>
      <c r="F574" s="133"/>
      <c r="G574" s="88"/>
      <c r="H574" s="88"/>
      <c r="I574" s="88"/>
      <c r="J574" s="88"/>
      <c r="K574" s="88"/>
      <c r="L574" s="88"/>
      <c r="M574" s="88"/>
    </row>
    <row r="575">
      <c r="A575" s="133"/>
      <c r="B575" s="133"/>
      <c r="C575" s="133"/>
      <c r="D575" s="133"/>
      <c r="E575" s="133"/>
      <c r="F575" s="133"/>
      <c r="G575" s="88"/>
      <c r="H575" s="88"/>
      <c r="I575" s="88"/>
      <c r="J575" s="88"/>
      <c r="K575" s="88"/>
      <c r="L575" s="88"/>
      <c r="M575" s="88"/>
    </row>
    <row r="576">
      <c r="A576" s="133"/>
      <c r="B576" s="133"/>
      <c r="C576" s="133"/>
      <c r="D576" s="133"/>
      <c r="E576" s="133"/>
      <c r="F576" s="133"/>
      <c r="G576" s="88"/>
      <c r="H576" s="88"/>
      <c r="I576" s="88"/>
      <c r="J576" s="88"/>
      <c r="K576" s="88"/>
      <c r="L576" s="88"/>
      <c r="M576" s="88"/>
    </row>
    <row r="577">
      <c r="A577" s="133"/>
      <c r="B577" s="133"/>
      <c r="C577" s="133"/>
      <c r="D577" s="133"/>
      <c r="E577" s="133"/>
      <c r="F577" s="133"/>
      <c r="G577" s="88"/>
      <c r="H577" s="88"/>
      <c r="I577" s="88"/>
      <c r="J577" s="88"/>
      <c r="K577" s="88"/>
      <c r="L577" s="88"/>
      <c r="M577" s="88"/>
    </row>
    <row r="578">
      <c r="A578" s="133"/>
      <c r="B578" s="133"/>
      <c r="C578" s="133"/>
      <c r="D578" s="133"/>
      <c r="E578" s="133"/>
      <c r="F578" s="133"/>
      <c r="G578" s="88"/>
      <c r="H578" s="88"/>
      <c r="I578" s="88"/>
      <c r="J578" s="88"/>
      <c r="K578" s="88"/>
      <c r="L578" s="88"/>
      <c r="M578" s="88"/>
    </row>
    <row r="579">
      <c r="A579" s="133"/>
      <c r="B579" s="133"/>
      <c r="C579" s="133"/>
      <c r="D579" s="133"/>
      <c r="E579" s="133"/>
      <c r="F579" s="133"/>
      <c r="G579" s="88"/>
      <c r="H579" s="88"/>
      <c r="I579" s="88"/>
      <c r="J579" s="88"/>
      <c r="K579" s="88"/>
      <c r="L579" s="88"/>
      <c r="M579" s="88"/>
    </row>
    <row r="580">
      <c r="A580" s="133"/>
      <c r="B580" s="133"/>
      <c r="C580" s="133"/>
      <c r="D580" s="133"/>
      <c r="E580" s="133"/>
      <c r="F580" s="133"/>
      <c r="G580" s="88"/>
      <c r="H580" s="88"/>
      <c r="I580" s="88"/>
      <c r="J580" s="88"/>
      <c r="K580" s="88"/>
      <c r="L580" s="88"/>
      <c r="M580" s="88"/>
    </row>
    <row r="581">
      <c r="A581" s="133"/>
      <c r="B581" s="133"/>
      <c r="C581" s="133"/>
      <c r="D581" s="133"/>
      <c r="E581" s="133"/>
      <c r="F581" s="133"/>
      <c r="G581" s="88"/>
      <c r="H581" s="88"/>
      <c r="I581" s="88"/>
      <c r="J581" s="88"/>
      <c r="K581" s="88"/>
      <c r="L581" s="88"/>
      <c r="M581" s="88"/>
    </row>
    <row r="582">
      <c r="A582" s="133"/>
      <c r="B582" s="133"/>
      <c r="C582" s="133"/>
      <c r="D582" s="133"/>
      <c r="E582" s="133"/>
      <c r="F582" s="133"/>
      <c r="G582" s="88"/>
      <c r="H582" s="88"/>
      <c r="I582" s="88"/>
      <c r="J582" s="88"/>
      <c r="K582" s="88"/>
      <c r="L582" s="88"/>
      <c r="M582" s="88"/>
    </row>
    <row r="583">
      <c r="A583" s="133"/>
      <c r="B583" s="133"/>
      <c r="C583" s="133"/>
      <c r="D583" s="133"/>
      <c r="E583" s="133"/>
      <c r="F583" s="133"/>
      <c r="G583" s="88"/>
      <c r="H583" s="88"/>
      <c r="I583" s="88"/>
      <c r="J583" s="88"/>
      <c r="K583" s="88"/>
      <c r="L583" s="88"/>
      <c r="M583" s="88"/>
    </row>
    <row r="584">
      <c r="A584" s="133"/>
      <c r="B584" s="133"/>
      <c r="C584" s="133"/>
      <c r="D584" s="133"/>
      <c r="E584" s="133"/>
      <c r="F584" s="133"/>
      <c r="G584" s="88"/>
      <c r="H584" s="88"/>
      <c r="I584" s="88"/>
      <c r="J584" s="88"/>
      <c r="K584" s="88"/>
      <c r="L584" s="88"/>
      <c r="M584" s="88"/>
    </row>
    <row r="585">
      <c r="A585" s="133"/>
      <c r="B585" s="133"/>
      <c r="C585" s="133"/>
      <c r="D585" s="133"/>
      <c r="E585" s="133"/>
      <c r="F585" s="133"/>
      <c r="G585" s="88"/>
      <c r="H585" s="88"/>
      <c r="I585" s="88"/>
      <c r="J585" s="88"/>
      <c r="K585" s="88"/>
      <c r="L585" s="88"/>
      <c r="M585" s="88"/>
    </row>
    <row r="586">
      <c r="A586" s="133"/>
      <c r="B586" s="133"/>
      <c r="C586" s="133"/>
      <c r="D586" s="133"/>
      <c r="E586" s="133"/>
      <c r="F586" s="133"/>
      <c r="G586" s="88"/>
      <c r="H586" s="88"/>
      <c r="I586" s="88"/>
      <c r="J586" s="88"/>
      <c r="K586" s="88"/>
      <c r="L586" s="88"/>
      <c r="M586" s="88"/>
    </row>
    <row r="587">
      <c r="A587" s="133"/>
      <c r="B587" s="133"/>
      <c r="C587" s="133"/>
      <c r="D587" s="133"/>
      <c r="E587" s="133"/>
      <c r="F587" s="133"/>
      <c r="G587" s="88"/>
      <c r="H587" s="88"/>
      <c r="I587" s="88"/>
      <c r="J587" s="88"/>
      <c r="K587" s="88"/>
      <c r="L587" s="88"/>
      <c r="M587" s="88"/>
    </row>
    <row r="588">
      <c r="A588" s="133"/>
      <c r="B588" s="133"/>
      <c r="C588" s="133"/>
      <c r="D588" s="133"/>
      <c r="E588" s="133"/>
      <c r="F588" s="133"/>
      <c r="G588" s="88"/>
      <c r="H588" s="88"/>
      <c r="I588" s="88"/>
      <c r="J588" s="88"/>
      <c r="K588" s="88"/>
      <c r="L588" s="88"/>
      <c r="M588" s="88"/>
    </row>
    <row r="589">
      <c r="A589" s="133"/>
      <c r="B589" s="133"/>
      <c r="C589" s="133"/>
      <c r="D589" s="133"/>
      <c r="E589" s="133"/>
      <c r="F589" s="133"/>
      <c r="G589" s="88"/>
      <c r="H589" s="88"/>
      <c r="I589" s="88"/>
      <c r="J589" s="88"/>
      <c r="K589" s="88"/>
      <c r="L589" s="88"/>
      <c r="M589" s="88"/>
    </row>
    <row r="590">
      <c r="A590" s="133"/>
      <c r="B590" s="133"/>
      <c r="C590" s="133"/>
      <c r="D590" s="133"/>
      <c r="E590" s="133"/>
      <c r="F590" s="133"/>
      <c r="G590" s="88"/>
      <c r="H590" s="88"/>
      <c r="I590" s="88"/>
      <c r="J590" s="88"/>
      <c r="K590" s="88"/>
      <c r="L590" s="88"/>
      <c r="M590" s="88"/>
    </row>
    <row r="591">
      <c r="A591" s="133"/>
      <c r="B591" s="133"/>
      <c r="C591" s="133"/>
      <c r="D591" s="133"/>
      <c r="E591" s="133"/>
      <c r="F591" s="133"/>
      <c r="G591" s="88"/>
      <c r="H591" s="88"/>
      <c r="I591" s="88"/>
      <c r="J591" s="88"/>
      <c r="K591" s="88"/>
      <c r="L591" s="88"/>
      <c r="M591" s="88"/>
    </row>
    <row r="592">
      <c r="A592" s="133"/>
      <c r="B592" s="133"/>
      <c r="C592" s="133"/>
      <c r="D592" s="133"/>
      <c r="E592" s="133"/>
      <c r="F592" s="133"/>
      <c r="G592" s="88"/>
      <c r="H592" s="88"/>
      <c r="I592" s="88"/>
      <c r="J592" s="88"/>
      <c r="K592" s="88"/>
      <c r="L592" s="88"/>
      <c r="M592" s="88"/>
    </row>
    <row r="593">
      <c r="A593" s="133"/>
      <c r="B593" s="133"/>
      <c r="C593" s="133"/>
      <c r="D593" s="133"/>
      <c r="E593" s="133"/>
      <c r="F593" s="133"/>
      <c r="G593" s="88"/>
      <c r="H593" s="88"/>
      <c r="I593" s="88"/>
      <c r="J593" s="88"/>
      <c r="K593" s="88"/>
      <c r="L593" s="88"/>
      <c r="M593" s="88"/>
    </row>
    <row r="594">
      <c r="A594" s="133"/>
      <c r="B594" s="133"/>
      <c r="C594" s="133"/>
      <c r="D594" s="133"/>
      <c r="E594" s="133"/>
      <c r="F594" s="133"/>
      <c r="G594" s="88"/>
      <c r="H594" s="88"/>
      <c r="I594" s="88"/>
      <c r="J594" s="88"/>
      <c r="K594" s="88"/>
      <c r="L594" s="88"/>
      <c r="M594" s="88"/>
    </row>
    <row r="595">
      <c r="A595" s="133"/>
      <c r="B595" s="133"/>
      <c r="C595" s="133"/>
      <c r="D595" s="133"/>
      <c r="E595" s="133"/>
      <c r="F595" s="133"/>
      <c r="G595" s="88"/>
      <c r="H595" s="88"/>
      <c r="I595" s="88"/>
      <c r="J595" s="88"/>
      <c r="K595" s="88"/>
      <c r="L595" s="88"/>
      <c r="M595" s="88"/>
    </row>
    <row r="596">
      <c r="A596" s="133"/>
      <c r="B596" s="133"/>
      <c r="C596" s="133"/>
      <c r="D596" s="133"/>
      <c r="E596" s="133"/>
      <c r="F596" s="133"/>
      <c r="G596" s="88"/>
      <c r="H596" s="88"/>
      <c r="I596" s="88"/>
      <c r="J596" s="88"/>
      <c r="K596" s="88"/>
      <c r="L596" s="88"/>
      <c r="M596" s="88"/>
    </row>
    <row r="597">
      <c r="A597" s="133"/>
      <c r="B597" s="133"/>
      <c r="C597" s="133"/>
      <c r="D597" s="133"/>
      <c r="E597" s="133"/>
      <c r="F597" s="133"/>
      <c r="G597" s="88"/>
      <c r="H597" s="88"/>
      <c r="I597" s="88"/>
      <c r="J597" s="88"/>
      <c r="K597" s="88"/>
      <c r="L597" s="88"/>
      <c r="M597" s="88"/>
    </row>
    <row r="598">
      <c r="A598" s="133"/>
      <c r="B598" s="133"/>
      <c r="C598" s="133"/>
      <c r="D598" s="133"/>
      <c r="E598" s="133"/>
      <c r="F598" s="133"/>
      <c r="G598" s="88"/>
      <c r="H598" s="88"/>
      <c r="I598" s="88"/>
      <c r="J598" s="88"/>
      <c r="K598" s="88"/>
      <c r="L598" s="88"/>
      <c r="M598" s="88"/>
    </row>
    <row r="599">
      <c r="A599" s="133"/>
      <c r="B599" s="133"/>
      <c r="C599" s="133"/>
      <c r="D599" s="133"/>
      <c r="E599" s="133"/>
      <c r="F599" s="133"/>
      <c r="G599" s="88"/>
      <c r="H599" s="88"/>
      <c r="I599" s="88"/>
      <c r="J599" s="88"/>
      <c r="K599" s="88"/>
      <c r="L599" s="88"/>
      <c r="M599" s="88"/>
    </row>
    <row r="600">
      <c r="A600" s="133"/>
      <c r="B600" s="133"/>
      <c r="C600" s="133"/>
      <c r="D600" s="133"/>
      <c r="E600" s="133"/>
      <c r="F600" s="133"/>
      <c r="G600" s="88"/>
      <c r="H600" s="88"/>
      <c r="I600" s="88"/>
      <c r="J600" s="88"/>
      <c r="K600" s="88"/>
      <c r="L600" s="88"/>
      <c r="M600" s="88"/>
    </row>
    <row r="601">
      <c r="A601" s="133"/>
      <c r="B601" s="133"/>
      <c r="C601" s="133"/>
      <c r="D601" s="133"/>
      <c r="E601" s="133"/>
      <c r="F601" s="133"/>
      <c r="G601" s="88"/>
      <c r="H601" s="88"/>
      <c r="I601" s="88"/>
      <c r="J601" s="88"/>
      <c r="K601" s="88"/>
      <c r="L601" s="88"/>
      <c r="M601" s="88"/>
    </row>
    <row r="602">
      <c r="A602" s="133"/>
      <c r="B602" s="133"/>
      <c r="C602" s="133"/>
      <c r="D602" s="133"/>
      <c r="E602" s="133"/>
      <c r="F602" s="133"/>
      <c r="G602" s="88"/>
      <c r="H602" s="88"/>
      <c r="I602" s="88"/>
      <c r="J602" s="88"/>
      <c r="K602" s="88"/>
      <c r="L602" s="88"/>
      <c r="M602" s="88"/>
    </row>
    <row r="603">
      <c r="A603" s="133"/>
      <c r="B603" s="133"/>
      <c r="C603" s="133"/>
      <c r="D603" s="133"/>
      <c r="E603" s="133"/>
      <c r="F603" s="133"/>
      <c r="G603" s="88"/>
      <c r="H603" s="88"/>
      <c r="I603" s="88"/>
      <c r="J603" s="88"/>
      <c r="K603" s="88"/>
      <c r="L603" s="88"/>
      <c r="M603" s="88"/>
    </row>
    <row r="604">
      <c r="A604" s="133"/>
      <c r="B604" s="133"/>
      <c r="C604" s="133"/>
      <c r="D604" s="133"/>
      <c r="E604" s="133"/>
      <c r="F604" s="133"/>
      <c r="G604" s="88"/>
      <c r="H604" s="88"/>
      <c r="I604" s="88"/>
      <c r="J604" s="88"/>
      <c r="K604" s="88"/>
      <c r="L604" s="88"/>
      <c r="M604" s="88"/>
    </row>
    <row r="605">
      <c r="A605" s="133"/>
      <c r="B605" s="133"/>
      <c r="C605" s="133"/>
      <c r="D605" s="133"/>
      <c r="E605" s="133"/>
      <c r="F605" s="133"/>
      <c r="G605" s="88"/>
      <c r="H605" s="88"/>
      <c r="I605" s="88"/>
      <c r="J605" s="88"/>
      <c r="K605" s="88"/>
      <c r="L605" s="88"/>
      <c r="M605" s="88"/>
    </row>
    <row r="606">
      <c r="A606" s="133"/>
      <c r="B606" s="133"/>
      <c r="C606" s="133"/>
      <c r="D606" s="133"/>
      <c r="E606" s="133"/>
      <c r="F606" s="133"/>
      <c r="G606" s="88"/>
      <c r="H606" s="88"/>
      <c r="I606" s="88"/>
      <c r="J606" s="88"/>
      <c r="K606" s="88"/>
      <c r="L606" s="88"/>
      <c r="M606" s="88"/>
    </row>
    <row r="607">
      <c r="A607" s="133"/>
      <c r="B607" s="133"/>
      <c r="C607" s="133"/>
      <c r="D607" s="133"/>
      <c r="E607" s="133"/>
      <c r="F607" s="133"/>
      <c r="G607" s="88"/>
      <c r="H607" s="88"/>
      <c r="I607" s="88"/>
      <c r="J607" s="88"/>
      <c r="K607" s="88"/>
      <c r="L607" s="88"/>
      <c r="M607" s="88"/>
    </row>
    <row r="608">
      <c r="A608" s="133"/>
      <c r="B608" s="133"/>
      <c r="C608" s="133"/>
      <c r="D608" s="133"/>
      <c r="E608" s="133"/>
      <c r="F608" s="133"/>
      <c r="G608" s="88"/>
      <c r="H608" s="88"/>
      <c r="I608" s="88"/>
      <c r="J608" s="88"/>
      <c r="K608" s="88"/>
      <c r="L608" s="88"/>
      <c r="M608" s="88"/>
    </row>
    <row r="609">
      <c r="A609" s="133"/>
      <c r="B609" s="133"/>
      <c r="C609" s="133"/>
      <c r="D609" s="133"/>
      <c r="E609" s="133"/>
      <c r="F609" s="133"/>
      <c r="G609" s="88"/>
      <c r="H609" s="88"/>
      <c r="I609" s="88"/>
      <c r="J609" s="88"/>
      <c r="K609" s="88"/>
      <c r="L609" s="88"/>
      <c r="M609" s="88"/>
    </row>
    <row r="610">
      <c r="A610" s="133"/>
      <c r="B610" s="133"/>
      <c r="C610" s="133"/>
      <c r="D610" s="133"/>
      <c r="E610" s="133"/>
      <c r="F610" s="133"/>
      <c r="G610" s="88"/>
      <c r="H610" s="88"/>
      <c r="I610" s="88"/>
      <c r="J610" s="88"/>
      <c r="K610" s="88"/>
      <c r="L610" s="88"/>
      <c r="M610" s="88"/>
    </row>
    <row r="611">
      <c r="A611" s="133"/>
      <c r="B611" s="133"/>
      <c r="C611" s="133"/>
      <c r="D611" s="133"/>
      <c r="E611" s="133"/>
      <c r="F611" s="133"/>
      <c r="G611" s="88"/>
      <c r="H611" s="88"/>
      <c r="I611" s="88"/>
      <c r="J611" s="88"/>
      <c r="K611" s="88"/>
      <c r="L611" s="88"/>
      <c r="M611" s="88"/>
    </row>
    <row r="612">
      <c r="A612" s="133"/>
      <c r="B612" s="133"/>
      <c r="C612" s="133"/>
      <c r="D612" s="133"/>
      <c r="E612" s="133"/>
      <c r="F612" s="133"/>
      <c r="G612" s="88"/>
      <c r="H612" s="88"/>
      <c r="I612" s="88"/>
      <c r="J612" s="88"/>
      <c r="K612" s="88"/>
      <c r="L612" s="88"/>
      <c r="M612" s="88"/>
    </row>
    <row r="613">
      <c r="A613" s="133"/>
      <c r="B613" s="133"/>
      <c r="C613" s="133"/>
      <c r="D613" s="133"/>
      <c r="E613" s="133"/>
      <c r="F613" s="133"/>
      <c r="G613" s="88"/>
      <c r="H613" s="88"/>
      <c r="I613" s="88"/>
      <c r="J613" s="88"/>
      <c r="K613" s="88"/>
      <c r="L613" s="88"/>
      <c r="M613" s="88"/>
    </row>
    <row r="614">
      <c r="A614" s="133"/>
      <c r="B614" s="133"/>
      <c r="C614" s="133"/>
      <c r="D614" s="133"/>
      <c r="E614" s="133"/>
      <c r="F614" s="133"/>
      <c r="G614" s="88"/>
      <c r="H614" s="88"/>
      <c r="I614" s="88"/>
      <c r="J614" s="88"/>
      <c r="K614" s="88"/>
      <c r="L614" s="88"/>
      <c r="M614" s="88"/>
    </row>
    <row r="615">
      <c r="A615" s="133"/>
      <c r="B615" s="133"/>
      <c r="C615" s="133"/>
      <c r="D615" s="133"/>
      <c r="E615" s="133"/>
      <c r="F615" s="133"/>
      <c r="G615" s="88"/>
      <c r="H615" s="88"/>
      <c r="I615" s="88"/>
      <c r="J615" s="88"/>
      <c r="K615" s="88"/>
      <c r="L615" s="88"/>
      <c r="M615" s="88"/>
    </row>
    <row r="616">
      <c r="A616" s="133"/>
      <c r="B616" s="133"/>
      <c r="C616" s="133"/>
      <c r="D616" s="133"/>
      <c r="E616" s="133"/>
      <c r="F616" s="133"/>
      <c r="G616" s="88"/>
      <c r="H616" s="88"/>
      <c r="I616" s="88"/>
      <c r="J616" s="88"/>
      <c r="K616" s="88"/>
      <c r="L616" s="88"/>
      <c r="M616" s="88"/>
    </row>
    <row r="617">
      <c r="A617" s="133"/>
      <c r="B617" s="133"/>
      <c r="C617" s="133"/>
      <c r="D617" s="133"/>
      <c r="E617" s="133"/>
      <c r="F617" s="133"/>
      <c r="G617" s="88"/>
      <c r="H617" s="88"/>
      <c r="I617" s="88"/>
      <c r="J617" s="88"/>
      <c r="K617" s="88"/>
      <c r="L617" s="88"/>
      <c r="M617" s="88"/>
    </row>
    <row r="618">
      <c r="A618" s="133"/>
      <c r="B618" s="133"/>
      <c r="C618" s="133"/>
      <c r="D618" s="133"/>
      <c r="E618" s="133"/>
      <c r="F618" s="133"/>
      <c r="G618" s="88"/>
      <c r="H618" s="88"/>
      <c r="I618" s="88"/>
      <c r="J618" s="88"/>
      <c r="K618" s="88"/>
      <c r="L618" s="88"/>
      <c r="M618" s="88"/>
    </row>
    <row r="619">
      <c r="A619" s="133"/>
      <c r="B619" s="133"/>
      <c r="C619" s="133"/>
      <c r="D619" s="133"/>
      <c r="E619" s="133"/>
      <c r="F619" s="133"/>
      <c r="G619" s="88"/>
      <c r="H619" s="88"/>
      <c r="I619" s="88"/>
      <c r="J619" s="88"/>
      <c r="K619" s="88"/>
      <c r="L619" s="88"/>
      <c r="M619" s="88"/>
    </row>
    <row r="620">
      <c r="A620" s="133"/>
      <c r="B620" s="133"/>
      <c r="C620" s="133"/>
      <c r="D620" s="133"/>
      <c r="E620" s="133"/>
      <c r="F620" s="133"/>
      <c r="G620" s="88"/>
      <c r="H620" s="88"/>
      <c r="I620" s="88"/>
      <c r="J620" s="88"/>
      <c r="K620" s="88"/>
      <c r="L620" s="88"/>
      <c r="M620" s="88"/>
    </row>
    <row r="621">
      <c r="A621" s="133"/>
      <c r="B621" s="133"/>
      <c r="C621" s="133"/>
      <c r="D621" s="133"/>
      <c r="E621" s="133"/>
      <c r="F621" s="133"/>
      <c r="G621" s="88"/>
      <c r="H621" s="88"/>
      <c r="I621" s="88"/>
      <c r="J621" s="88"/>
      <c r="K621" s="88"/>
      <c r="L621" s="88"/>
      <c r="M621" s="88"/>
    </row>
    <row r="622">
      <c r="A622" s="133"/>
      <c r="B622" s="133"/>
      <c r="C622" s="133"/>
      <c r="D622" s="133"/>
      <c r="E622" s="133"/>
      <c r="F622" s="133"/>
      <c r="G622" s="88"/>
      <c r="H622" s="88"/>
      <c r="I622" s="88"/>
      <c r="J622" s="88"/>
      <c r="K622" s="88"/>
      <c r="L622" s="88"/>
      <c r="M622" s="88"/>
    </row>
    <row r="623">
      <c r="A623" s="133"/>
      <c r="B623" s="133"/>
      <c r="C623" s="133"/>
      <c r="D623" s="133"/>
      <c r="E623" s="133"/>
      <c r="F623" s="133"/>
      <c r="G623" s="88"/>
      <c r="H623" s="88"/>
      <c r="I623" s="88"/>
      <c r="J623" s="88"/>
      <c r="K623" s="88"/>
      <c r="L623" s="88"/>
      <c r="M623" s="88"/>
    </row>
    <row r="624">
      <c r="A624" s="133"/>
      <c r="B624" s="133"/>
      <c r="C624" s="133"/>
      <c r="D624" s="133"/>
      <c r="E624" s="133"/>
      <c r="F624" s="133"/>
      <c r="G624" s="88"/>
      <c r="H624" s="88"/>
      <c r="I624" s="88"/>
      <c r="J624" s="88"/>
      <c r="K624" s="88"/>
      <c r="L624" s="88"/>
      <c r="M624" s="88"/>
    </row>
    <row r="625">
      <c r="A625" s="133"/>
      <c r="B625" s="133"/>
      <c r="C625" s="133"/>
      <c r="D625" s="133"/>
      <c r="E625" s="133"/>
      <c r="F625" s="133"/>
      <c r="G625" s="88"/>
      <c r="H625" s="88"/>
      <c r="I625" s="88"/>
      <c r="J625" s="88"/>
      <c r="K625" s="88"/>
      <c r="L625" s="88"/>
      <c r="M625" s="88"/>
    </row>
    <row r="626">
      <c r="A626" s="133"/>
      <c r="B626" s="133"/>
      <c r="C626" s="133"/>
      <c r="D626" s="133"/>
      <c r="E626" s="133"/>
      <c r="F626" s="133"/>
      <c r="G626" s="88"/>
      <c r="H626" s="88"/>
      <c r="I626" s="88"/>
      <c r="J626" s="88"/>
      <c r="K626" s="88"/>
      <c r="L626" s="88"/>
      <c r="M626" s="88"/>
    </row>
    <row r="627">
      <c r="A627" s="133"/>
      <c r="B627" s="133"/>
      <c r="C627" s="133"/>
      <c r="D627" s="133"/>
      <c r="E627" s="133"/>
      <c r="F627" s="133"/>
      <c r="G627" s="88"/>
      <c r="H627" s="88"/>
      <c r="I627" s="88"/>
      <c r="J627" s="88"/>
      <c r="K627" s="88"/>
      <c r="L627" s="88"/>
      <c r="M627" s="88"/>
    </row>
    <row r="628">
      <c r="A628" s="133"/>
      <c r="B628" s="133"/>
      <c r="C628" s="133"/>
      <c r="D628" s="133"/>
      <c r="E628" s="133"/>
      <c r="F628" s="133"/>
      <c r="G628" s="88"/>
      <c r="H628" s="88"/>
      <c r="I628" s="88"/>
      <c r="J628" s="88"/>
      <c r="K628" s="88"/>
      <c r="L628" s="88"/>
      <c r="M628" s="88"/>
    </row>
    <row r="629">
      <c r="A629" s="133"/>
      <c r="B629" s="133"/>
      <c r="C629" s="133"/>
      <c r="D629" s="133"/>
      <c r="E629" s="133"/>
      <c r="F629" s="133"/>
      <c r="G629" s="88"/>
      <c r="H629" s="88"/>
      <c r="I629" s="88"/>
      <c r="J629" s="88"/>
      <c r="K629" s="88"/>
      <c r="L629" s="88"/>
      <c r="M629" s="88"/>
    </row>
    <row r="630">
      <c r="A630" s="133"/>
      <c r="B630" s="133"/>
      <c r="C630" s="133"/>
      <c r="D630" s="133"/>
      <c r="E630" s="133"/>
      <c r="F630" s="133"/>
      <c r="G630" s="88"/>
      <c r="H630" s="88"/>
      <c r="I630" s="88"/>
      <c r="J630" s="88"/>
      <c r="K630" s="88"/>
      <c r="L630" s="88"/>
      <c r="M630" s="88"/>
    </row>
    <row r="631">
      <c r="A631" s="133"/>
      <c r="B631" s="133"/>
      <c r="C631" s="133"/>
      <c r="D631" s="133"/>
      <c r="E631" s="133"/>
      <c r="F631" s="133"/>
      <c r="G631" s="88"/>
      <c r="H631" s="88"/>
      <c r="I631" s="88"/>
      <c r="J631" s="88"/>
      <c r="K631" s="88"/>
      <c r="L631" s="88"/>
      <c r="M631" s="88"/>
    </row>
    <row r="632">
      <c r="A632" s="133"/>
      <c r="B632" s="133"/>
      <c r="C632" s="133"/>
      <c r="D632" s="133"/>
      <c r="E632" s="133"/>
      <c r="F632" s="133"/>
      <c r="G632" s="88"/>
      <c r="H632" s="88"/>
      <c r="I632" s="88"/>
      <c r="J632" s="88"/>
      <c r="K632" s="88"/>
      <c r="L632" s="88"/>
      <c r="M632" s="88"/>
    </row>
    <row r="633">
      <c r="A633" s="133"/>
      <c r="B633" s="133"/>
      <c r="C633" s="133"/>
      <c r="D633" s="133"/>
      <c r="E633" s="133"/>
      <c r="F633" s="133"/>
      <c r="G633" s="88"/>
      <c r="H633" s="88"/>
      <c r="I633" s="88"/>
      <c r="J633" s="88"/>
      <c r="K633" s="88"/>
      <c r="L633" s="88"/>
      <c r="M633" s="88"/>
    </row>
    <row r="634">
      <c r="A634" s="133"/>
      <c r="B634" s="133"/>
      <c r="C634" s="133"/>
      <c r="D634" s="133"/>
      <c r="E634" s="133"/>
      <c r="F634" s="133"/>
      <c r="G634" s="88"/>
      <c r="H634" s="88"/>
      <c r="I634" s="88"/>
      <c r="J634" s="88"/>
      <c r="K634" s="88"/>
      <c r="L634" s="88"/>
      <c r="M634" s="88"/>
    </row>
    <row r="635">
      <c r="A635" s="133"/>
      <c r="B635" s="133"/>
      <c r="C635" s="133"/>
      <c r="D635" s="133"/>
      <c r="E635" s="133"/>
      <c r="F635" s="133"/>
      <c r="G635" s="88"/>
      <c r="H635" s="88"/>
      <c r="I635" s="88"/>
      <c r="J635" s="88"/>
      <c r="K635" s="88"/>
      <c r="L635" s="88"/>
      <c r="M635" s="88"/>
    </row>
    <row r="636">
      <c r="A636" s="133"/>
      <c r="B636" s="133"/>
      <c r="C636" s="133"/>
      <c r="D636" s="133"/>
      <c r="E636" s="133"/>
      <c r="F636" s="133"/>
      <c r="G636" s="88"/>
      <c r="H636" s="88"/>
      <c r="I636" s="88"/>
      <c r="J636" s="88"/>
      <c r="K636" s="88"/>
      <c r="L636" s="88"/>
      <c r="M636" s="88"/>
    </row>
    <row r="637">
      <c r="A637" s="133"/>
      <c r="B637" s="133"/>
      <c r="C637" s="133"/>
      <c r="D637" s="133"/>
      <c r="E637" s="133"/>
      <c r="F637" s="133"/>
      <c r="G637" s="88"/>
      <c r="H637" s="88"/>
      <c r="I637" s="88"/>
      <c r="J637" s="88"/>
      <c r="K637" s="88"/>
      <c r="L637" s="88"/>
      <c r="M637" s="88"/>
    </row>
    <row r="638">
      <c r="A638" s="133"/>
      <c r="B638" s="133"/>
      <c r="C638" s="133"/>
      <c r="D638" s="133"/>
      <c r="E638" s="133"/>
      <c r="F638" s="133"/>
      <c r="G638" s="88"/>
      <c r="H638" s="88"/>
      <c r="I638" s="88"/>
      <c r="J638" s="88"/>
      <c r="K638" s="88"/>
      <c r="L638" s="88"/>
      <c r="M638" s="88"/>
    </row>
    <row r="639">
      <c r="A639" s="133"/>
      <c r="B639" s="133"/>
      <c r="C639" s="133"/>
      <c r="D639" s="133"/>
      <c r="E639" s="133"/>
      <c r="F639" s="133"/>
      <c r="G639" s="88"/>
      <c r="H639" s="88"/>
      <c r="I639" s="88"/>
      <c r="J639" s="88"/>
      <c r="K639" s="88"/>
      <c r="L639" s="88"/>
      <c r="M639" s="88"/>
    </row>
    <row r="640">
      <c r="A640" s="133"/>
      <c r="B640" s="133"/>
      <c r="C640" s="133"/>
      <c r="D640" s="133"/>
      <c r="E640" s="133"/>
      <c r="F640" s="133"/>
      <c r="G640" s="88"/>
      <c r="H640" s="88"/>
      <c r="I640" s="88"/>
      <c r="J640" s="88"/>
      <c r="K640" s="88"/>
      <c r="L640" s="88"/>
      <c r="M640" s="88"/>
    </row>
    <row r="641">
      <c r="A641" s="133"/>
      <c r="B641" s="133"/>
      <c r="C641" s="133"/>
      <c r="D641" s="133"/>
      <c r="E641" s="133"/>
      <c r="F641" s="133"/>
      <c r="G641" s="88"/>
      <c r="H641" s="88"/>
      <c r="I641" s="88"/>
      <c r="J641" s="88"/>
      <c r="K641" s="88"/>
      <c r="L641" s="88"/>
      <c r="M641" s="88"/>
    </row>
    <row r="642">
      <c r="A642" s="133"/>
      <c r="B642" s="133"/>
      <c r="C642" s="133"/>
      <c r="D642" s="133"/>
      <c r="E642" s="133"/>
      <c r="F642" s="133"/>
      <c r="G642" s="88"/>
      <c r="H642" s="88"/>
      <c r="I642" s="88"/>
      <c r="J642" s="88"/>
      <c r="K642" s="88"/>
      <c r="L642" s="88"/>
      <c r="M642" s="88"/>
    </row>
    <row r="643">
      <c r="A643" s="133"/>
      <c r="B643" s="133"/>
      <c r="C643" s="133"/>
      <c r="D643" s="133"/>
      <c r="E643" s="133"/>
      <c r="F643" s="133"/>
      <c r="G643" s="88"/>
      <c r="H643" s="88"/>
      <c r="I643" s="88"/>
      <c r="J643" s="88"/>
      <c r="K643" s="88"/>
      <c r="L643" s="88"/>
      <c r="M643" s="88"/>
    </row>
    <row r="644">
      <c r="A644" s="133"/>
      <c r="B644" s="133"/>
      <c r="C644" s="133"/>
      <c r="D644" s="133"/>
      <c r="E644" s="133"/>
      <c r="F644" s="133"/>
      <c r="G644" s="88"/>
      <c r="H644" s="88"/>
      <c r="I644" s="88"/>
      <c r="J644" s="88"/>
      <c r="K644" s="88"/>
      <c r="L644" s="88"/>
      <c r="M644" s="88"/>
    </row>
    <row r="645">
      <c r="A645" s="133"/>
      <c r="B645" s="133"/>
      <c r="C645" s="133"/>
      <c r="D645" s="133"/>
      <c r="E645" s="133"/>
      <c r="F645" s="133"/>
      <c r="G645" s="88"/>
      <c r="H645" s="88"/>
      <c r="I645" s="88"/>
      <c r="J645" s="88"/>
      <c r="K645" s="88"/>
      <c r="L645" s="88"/>
      <c r="M645" s="88"/>
    </row>
    <row r="646">
      <c r="A646" s="133"/>
      <c r="B646" s="133"/>
      <c r="C646" s="133"/>
      <c r="D646" s="133"/>
      <c r="E646" s="133"/>
      <c r="F646" s="133"/>
      <c r="G646" s="88"/>
      <c r="H646" s="88"/>
      <c r="I646" s="88"/>
      <c r="J646" s="88"/>
      <c r="K646" s="88"/>
      <c r="L646" s="88"/>
      <c r="M646" s="88"/>
    </row>
    <row r="647">
      <c r="A647" s="133"/>
      <c r="B647" s="133"/>
      <c r="C647" s="133"/>
      <c r="D647" s="133"/>
      <c r="E647" s="133"/>
      <c r="F647" s="133"/>
      <c r="G647" s="88"/>
      <c r="H647" s="88"/>
      <c r="I647" s="88"/>
      <c r="J647" s="88"/>
      <c r="K647" s="88"/>
      <c r="L647" s="88"/>
      <c r="M647" s="88"/>
    </row>
    <row r="648">
      <c r="A648" s="133"/>
      <c r="B648" s="133"/>
      <c r="C648" s="133"/>
      <c r="D648" s="133"/>
      <c r="E648" s="133"/>
      <c r="F648" s="133"/>
      <c r="G648" s="88"/>
      <c r="H648" s="88"/>
      <c r="I648" s="88"/>
      <c r="J648" s="88"/>
      <c r="K648" s="88"/>
      <c r="L648" s="88"/>
      <c r="M648" s="88"/>
    </row>
    <row r="649">
      <c r="A649" s="133"/>
      <c r="B649" s="133"/>
      <c r="C649" s="133"/>
      <c r="D649" s="133"/>
      <c r="E649" s="133"/>
      <c r="F649" s="133"/>
      <c r="G649" s="88"/>
      <c r="H649" s="88"/>
      <c r="I649" s="88"/>
      <c r="J649" s="88"/>
      <c r="K649" s="88"/>
      <c r="L649" s="88"/>
      <c r="M649" s="88"/>
    </row>
    <row r="650">
      <c r="A650" s="133"/>
      <c r="B650" s="133"/>
      <c r="C650" s="133"/>
      <c r="D650" s="133"/>
      <c r="E650" s="133"/>
      <c r="F650" s="133"/>
      <c r="G650" s="88"/>
      <c r="H650" s="88"/>
      <c r="I650" s="88"/>
      <c r="J650" s="88"/>
      <c r="K650" s="88"/>
      <c r="L650" s="88"/>
      <c r="M650" s="88"/>
    </row>
    <row r="651">
      <c r="A651" s="133"/>
      <c r="B651" s="133"/>
      <c r="C651" s="133"/>
      <c r="D651" s="133"/>
      <c r="E651" s="133"/>
      <c r="F651" s="133"/>
      <c r="G651" s="88"/>
      <c r="H651" s="88"/>
      <c r="I651" s="88"/>
      <c r="J651" s="88"/>
      <c r="K651" s="88"/>
      <c r="L651" s="88"/>
      <c r="M651" s="88"/>
    </row>
    <row r="652">
      <c r="A652" s="133"/>
      <c r="B652" s="133"/>
      <c r="C652" s="133"/>
      <c r="D652" s="133"/>
      <c r="E652" s="133"/>
      <c r="F652" s="133"/>
      <c r="G652" s="88"/>
      <c r="H652" s="88"/>
      <c r="I652" s="88"/>
      <c r="J652" s="88"/>
      <c r="K652" s="88"/>
      <c r="L652" s="88"/>
      <c r="M652" s="88"/>
    </row>
    <row r="653">
      <c r="A653" s="133"/>
      <c r="B653" s="133"/>
      <c r="C653" s="133"/>
      <c r="D653" s="133"/>
      <c r="E653" s="133"/>
      <c r="F653" s="133"/>
      <c r="G653" s="88"/>
      <c r="H653" s="88"/>
      <c r="I653" s="88"/>
      <c r="J653" s="88"/>
      <c r="K653" s="88"/>
      <c r="L653" s="88"/>
      <c r="M653" s="88"/>
    </row>
    <row r="654">
      <c r="A654" s="133"/>
      <c r="B654" s="133"/>
      <c r="C654" s="133"/>
      <c r="D654" s="133"/>
      <c r="E654" s="133"/>
      <c r="F654" s="133"/>
      <c r="G654" s="88"/>
      <c r="H654" s="88"/>
      <c r="I654" s="88"/>
      <c r="J654" s="88"/>
      <c r="K654" s="88"/>
      <c r="L654" s="88"/>
      <c r="M654" s="88"/>
    </row>
    <row r="655">
      <c r="A655" s="133"/>
      <c r="B655" s="133"/>
      <c r="C655" s="133"/>
      <c r="D655" s="133"/>
      <c r="E655" s="133"/>
      <c r="F655" s="133"/>
      <c r="G655" s="88"/>
      <c r="H655" s="88"/>
      <c r="I655" s="88"/>
      <c r="J655" s="88"/>
      <c r="K655" s="88"/>
      <c r="L655" s="88"/>
      <c r="M655" s="88"/>
    </row>
    <row r="656">
      <c r="A656" s="133"/>
      <c r="B656" s="133"/>
      <c r="C656" s="133"/>
      <c r="D656" s="133"/>
      <c r="E656" s="133"/>
      <c r="F656" s="133"/>
      <c r="G656" s="88"/>
      <c r="H656" s="88"/>
      <c r="I656" s="88"/>
      <c r="J656" s="88"/>
      <c r="K656" s="88"/>
      <c r="L656" s="88"/>
      <c r="M656" s="88"/>
    </row>
    <row r="657">
      <c r="A657" s="133"/>
      <c r="B657" s="133"/>
      <c r="C657" s="133"/>
      <c r="D657" s="133"/>
      <c r="E657" s="133"/>
      <c r="F657" s="133"/>
      <c r="G657" s="88"/>
      <c r="H657" s="88"/>
      <c r="I657" s="88"/>
      <c r="J657" s="88"/>
      <c r="K657" s="88"/>
      <c r="L657" s="88"/>
      <c r="M657" s="88"/>
    </row>
    <row r="658">
      <c r="A658" s="133"/>
      <c r="B658" s="133"/>
      <c r="C658" s="133"/>
      <c r="D658" s="133"/>
      <c r="E658" s="133"/>
      <c r="F658" s="133"/>
      <c r="G658" s="88"/>
      <c r="H658" s="88"/>
      <c r="I658" s="88"/>
      <c r="J658" s="88"/>
      <c r="K658" s="88"/>
      <c r="L658" s="88"/>
      <c r="M658" s="88"/>
    </row>
    <row r="659">
      <c r="A659" s="133"/>
      <c r="B659" s="133"/>
      <c r="C659" s="133"/>
      <c r="D659" s="133"/>
      <c r="E659" s="133"/>
      <c r="F659" s="133"/>
      <c r="G659" s="88"/>
      <c r="H659" s="88"/>
      <c r="I659" s="88"/>
      <c r="J659" s="88"/>
      <c r="K659" s="88"/>
      <c r="L659" s="88"/>
      <c r="M659" s="88"/>
    </row>
    <row r="660">
      <c r="A660" s="133"/>
      <c r="B660" s="133"/>
      <c r="C660" s="133"/>
      <c r="D660" s="133"/>
      <c r="E660" s="133"/>
      <c r="F660" s="133"/>
      <c r="G660" s="88"/>
      <c r="H660" s="88"/>
      <c r="I660" s="88"/>
      <c r="J660" s="88"/>
      <c r="K660" s="88"/>
      <c r="L660" s="88"/>
      <c r="M660" s="88"/>
    </row>
    <row r="661">
      <c r="A661" s="133"/>
      <c r="B661" s="133"/>
      <c r="C661" s="133"/>
      <c r="D661" s="133"/>
      <c r="E661" s="133"/>
      <c r="F661" s="133"/>
      <c r="G661" s="88"/>
      <c r="H661" s="88"/>
      <c r="I661" s="88"/>
      <c r="J661" s="88"/>
      <c r="K661" s="88"/>
      <c r="L661" s="88"/>
      <c r="M661" s="88"/>
    </row>
    <row r="662">
      <c r="A662" s="133"/>
      <c r="B662" s="133"/>
      <c r="C662" s="133"/>
      <c r="D662" s="133"/>
      <c r="E662" s="133"/>
      <c r="F662" s="133"/>
      <c r="G662" s="88"/>
      <c r="H662" s="88"/>
      <c r="I662" s="88"/>
      <c r="J662" s="88"/>
      <c r="K662" s="88"/>
      <c r="L662" s="88"/>
      <c r="M662" s="88"/>
    </row>
    <row r="663">
      <c r="A663" s="133"/>
      <c r="B663" s="133"/>
      <c r="C663" s="133"/>
      <c r="D663" s="133"/>
      <c r="E663" s="133"/>
      <c r="F663" s="133"/>
      <c r="G663" s="88"/>
      <c r="H663" s="88"/>
      <c r="I663" s="88"/>
      <c r="J663" s="88"/>
      <c r="K663" s="88"/>
      <c r="L663" s="88"/>
      <c r="M663" s="88"/>
    </row>
    <row r="664">
      <c r="A664" s="133"/>
      <c r="B664" s="133"/>
      <c r="C664" s="133"/>
      <c r="D664" s="133"/>
      <c r="E664" s="133"/>
      <c r="F664" s="133"/>
      <c r="G664" s="88"/>
      <c r="H664" s="88"/>
      <c r="I664" s="88"/>
      <c r="J664" s="88"/>
      <c r="K664" s="88"/>
      <c r="L664" s="88"/>
      <c r="M664" s="88"/>
    </row>
    <row r="665">
      <c r="A665" s="133"/>
      <c r="B665" s="133"/>
      <c r="C665" s="133"/>
      <c r="D665" s="133"/>
      <c r="E665" s="133"/>
      <c r="F665" s="133"/>
      <c r="G665" s="88"/>
      <c r="H665" s="88"/>
      <c r="I665" s="88"/>
      <c r="J665" s="88"/>
      <c r="K665" s="88"/>
      <c r="L665" s="88"/>
      <c r="M665" s="88"/>
    </row>
    <row r="666">
      <c r="A666" s="133"/>
      <c r="B666" s="133"/>
      <c r="C666" s="133"/>
      <c r="D666" s="133"/>
      <c r="E666" s="133"/>
      <c r="F666" s="133"/>
      <c r="G666" s="88"/>
      <c r="H666" s="88"/>
      <c r="I666" s="88"/>
      <c r="J666" s="88"/>
      <c r="K666" s="88"/>
      <c r="L666" s="88"/>
      <c r="M666" s="88"/>
    </row>
    <row r="667">
      <c r="A667" s="133"/>
      <c r="B667" s="133"/>
      <c r="C667" s="133"/>
      <c r="D667" s="133"/>
      <c r="E667" s="133"/>
      <c r="F667" s="133"/>
      <c r="G667" s="88"/>
      <c r="H667" s="88"/>
      <c r="I667" s="88"/>
      <c r="J667" s="88"/>
      <c r="K667" s="88"/>
      <c r="L667" s="88"/>
      <c r="M667" s="88"/>
    </row>
    <row r="668">
      <c r="A668" s="133"/>
      <c r="B668" s="133"/>
      <c r="C668" s="133"/>
      <c r="D668" s="133"/>
      <c r="E668" s="133"/>
      <c r="F668" s="133"/>
      <c r="G668" s="88"/>
      <c r="H668" s="88"/>
      <c r="I668" s="88"/>
      <c r="J668" s="88"/>
      <c r="K668" s="88"/>
      <c r="L668" s="88"/>
      <c r="M668" s="88"/>
    </row>
    <row r="669">
      <c r="A669" s="133"/>
      <c r="B669" s="133"/>
      <c r="C669" s="133"/>
      <c r="D669" s="133"/>
      <c r="E669" s="133"/>
      <c r="F669" s="133"/>
      <c r="G669" s="88"/>
      <c r="H669" s="88"/>
      <c r="I669" s="88"/>
      <c r="J669" s="88"/>
      <c r="K669" s="88"/>
      <c r="L669" s="88"/>
      <c r="M669" s="88"/>
    </row>
    <row r="670">
      <c r="A670" s="133"/>
      <c r="B670" s="133"/>
      <c r="C670" s="133"/>
      <c r="D670" s="133"/>
      <c r="E670" s="133"/>
      <c r="F670" s="133"/>
      <c r="G670" s="88"/>
      <c r="H670" s="88"/>
      <c r="I670" s="88"/>
      <c r="J670" s="88"/>
      <c r="K670" s="88"/>
      <c r="L670" s="88"/>
      <c r="M670" s="88"/>
    </row>
    <row r="671">
      <c r="A671" s="133"/>
      <c r="B671" s="133"/>
      <c r="C671" s="133"/>
      <c r="D671" s="133"/>
      <c r="E671" s="133"/>
      <c r="F671" s="133"/>
      <c r="G671" s="88"/>
      <c r="H671" s="88"/>
      <c r="I671" s="88"/>
      <c r="J671" s="88"/>
      <c r="K671" s="88"/>
      <c r="L671" s="88"/>
      <c r="M671" s="88"/>
    </row>
    <row r="672">
      <c r="A672" s="133"/>
      <c r="B672" s="133"/>
      <c r="C672" s="133"/>
      <c r="D672" s="133"/>
      <c r="E672" s="133"/>
      <c r="F672" s="133"/>
      <c r="G672" s="88"/>
      <c r="H672" s="88"/>
      <c r="I672" s="88"/>
      <c r="J672" s="88"/>
      <c r="K672" s="88"/>
      <c r="L672" s="88"/>
      <c r="M672" s="88"/>
    </row>
    <row r="673">
      <c r="A673" s="133"/>
      <c r="B673" s="133"/>
      <c r="C673" s="133"/>
      <c r="D673" s="133"/>
      <c r="E673" s="133"/>
      <c r="F673" s="133"/>
      <c r="G673" s="88"/>
      <c r="H673" s="88"/>
      <c r="I673" s="88"/>
      <c r="J673" s="88"/>
      <c r="K673" s="88"/>
      <c r="L673" s="88"/>
      <c r="M673" s="88"/>
    </row>
    <row r="674">
      <c r="A674" s="133"/>
      <c r="B674" s="133"/>
      <c r="C674" s="133"/>
      <c r="D674" s="133"/>
      <c r="E674" s="133"/>
      <c r="F674" s="133"/>
      <c r="G674" s="88"/>
      <c r="H674" s="88"/>
      <c r="I674" s="88"/>
      <c r="J674" s="88"/>
      <c r="K674" s="88"/>
      <c r="L674" s="88"/>
      <c r="M674" s="88"/>
    </row>
    <row r="675">
      <c r="A675" s="133"/>
      <c r="B675" s="133"/>
      <c r="C675" s="133"/>
      <c r="D675" s="133"/>
      <c r="E675" s="133"/>
      <c r="F675" s="133"/>
      <c r="G675" s="88"/>
      <c r="H675" s="88"/>
      <c r="I675" s="88"/>
      <c r="J675" s="88"/>
      <c r="K675" s="88"/>
      <c r="L675" s="88"/>
      <c r="M675" s="88"/>
    </row>
    <row r="676">
      <c r="A676" s="133"/>
      <c r="B676" s="133"/>
      <c r="C676" s="133"/>
      <c r="D676" s="133"/>
      <c r="E676" s="133"/>
      <c r="F676" s="133"/>
      <c r="G676" s="88"/>
      <c r="H676" s="88"/>
      <c r="I676" s="88"/>
      <c r="J676" s="88"/>
      <c r="K676" s="88"/>
      <c r="L676" s="88"/>
      <c r="M676" s="88"/>
    </row>
    <row r="677">
      <c r="A677" s="133"/>
      <c r="B677" s="133"/>
      <c r="C677" s="133"/>
      <c r="D677" s="133"/>
      <c r="E677" s="133"/>
      <c r="F677" s="133"/>
      <c r="G677" s="88"/>
      <c r="H677" s="88"/>
      <c r="I677" s="88"/>
      <c r="J677" s="88"/>
      <c r="K677" s="88"/>
      <c r="L677" s="88"/>
      <c r="M677" s="88"/>
    </row>
    <row r="678">
      <c r="A678" s="133"/>
      <c r="B678" s="133"/>
      <c r="C678" s="133"/>
      <c r="D678" s="133"/>
      <c r="E678" s="133"/>
      <c r="F678" s="133"/>
      <c r="G678" s="88"/>
      <c r="H678" s="88"/>
      <c r="I678" s="88"/>
      <c r="J678" s="88"/>
      <c r="K678" s="88"/>
      <c r="L678" s="88"/>
      <c r="M678" s="88"/>
    </row>
    <row r="679">
      <c r="A679" s="133"/>
      <c r="B679" s="133"/>
      <c r="C679" s="133"/>
      <c r="D679" s="133"/>
      <c r="E679" s="133"/>
      <c r="F679" s="133"/>
      <c r="G679" s="88"/>
      <c r="H679" s="88"/>
      <c r="I679" s="88"/>
      <c r="J679" s="88"/>
      <c r="K679" s="88"/>
      <c r="L679" s="88"/>
      <c r="M679" s="88"/>
    </row>
    <row r="680">
      <c r="A680" s="133"/>
      <c r="B680" s="133"/>
      <c r="C680" s="133"/>
      <c r="D680" s="133"/>
      <c r="E680" s="133"/>
      <c r="F680" s="133"/>
      <c r="G680" s="88"/>
      <c r="H680" s="88"/>
      <c r="I680" s="88"/>
      <c r="J680" s="88"/>
      <c r="K680" s="88"/>
      <c r="L680" s="88"/>
      <c r="M680" s="88"/>
    </row>
    <row r="681">
      <c r="A681" s="133"/>
      <c r="B681" s="133"/>
      <c r="C681" s="133"/>
      <c r="D681" s="133"/>
      <c r="E681" s="133"/>
      <c r="F681" s="133"/>
      <c r="G681" s="88"/>
      <c r="H681" s="88"/>
      <c r="I681" s="88"/>
      <c r="J681" s="88"/>
      <c r="K681" s="88"/>
      <c r="L681" s="88"/>
      <c r="M681" s="88"/>
    </row>
    <row r="682">
      <c r="A682" s="133"/>
      <c r="B682" s="133"/>
      <c r="C682" s="133"/>
      <c r="D682" s="133"/>
      <c r="E682" s="133"/>
      <c r="F682" s="133"/>
      <c r="G682" s="88"/>
      <c r="H682" s="88"/>
      <c r="I682" s="88"/>
      <c r="J682" s="88"/>
      <c r="K682" s="88"/>
      <c r="L682" s="88"/>
      <c r="M682" s="88"/>
    </row>
    <row r="683">
      <c r="A683" s="133"/>
      <c r="B683" s="133"/>
      <c r="C683" s="133"/>
      <c r="D683" s="133"/>
      <c r="E683" s="133"/>
      <c r="F683" s="133"/>
      <c r="G683" s="88"/>
      <c r="H683" s="88"/>
      <c r="I683" s="88"/>
      <c r="J683" s="88"/>
      <c r="K683" s="88"/>
      <c r="L683" s="88"/>
      <c r="M683" s="88"/>
    </row>
    <row r="684">
      <c r="A684" s="133"/>
      <c r="B684" s="133"/>
      <c r="C684" s="133"/>
      <c r="D684" s="133"/>
      <c r="E684" s="133"/>
      <c r="F684" s="133"/>
      <c r="G684" s="88"/>
      <c r="H684" s="88"/>
      <c r="I684" s="88"/>
      <c r="J684" s="88"/>
      <c r="K684" s="88"/>
      <c r="L684" s="88"/>
      <c r="M684" s="88"/>
    </row>
    <row r="685">
      <c r="A685" s="133"/>
      <c r="B685" s="133"/>
      <c r="C685" s="133"/>
      <c r="D685" s="133"/>
      <c r="E685" s="133"/>
      <c r="F685" s="133"/>
      <c r="G685" s="88"/>
      <c r="H685" s="88"/>
      <c r="I685" s="88"/>
      <c r="J685" s="88"/>
      <c r="K685" s="88"/>
      <c r="L685" s="88"/>
      <c r="M685" s="88"/>
    </row>
    <row r="686">
      <c r="A686" s="133"/>
      <c r="B686" s="133"/>
      <c r="C686" s="133"/>
      <c r="D686" s="133"/>
      <c r="E686" s="133"/>
      <c r="F686" s="133"/>
      <c r="G686" s="88"/>
      <c r="H686" s="88"/>
      <c r="I686" s="88"/>
      <c r="J686" s="88"/>
      <c r="K686" s="88"/>
      <c r="L686" s="88"/>
      <c r="M686" s="88"/>
    </row>
    <row r="687">
      <c r="A687" s="133"/>
      <c r="B687" s="133"/>
      <c r="C687" s="133"/>
      <c r="D687" s="133"/>
      <c r="E687" s="133"/>
      <c r="F687" s="133"/>
      <c r="G687" s="88"/>
      <c r="H687" s="88"/>
      <c r="I687" s="88"/>
      <c r="J687" s="88"/>
      <c r="K687" s="88"/>
      <c r="L687" s="88"/>
      <c r="M687" s="88"/>
    </row>
    <row r="688">
      <c r="A688" s="133"/>
      <c r="B688" s="133"/>
      <c r="C688" s="133"/>
      <c r="D688" s="133"/>
      <c r="E688" s="133"/>
      <c r="F688" s="133"/>
      <c r="G688" s="88"/>
      <c r="H688" s="88"/>
      <c r="I688" s="88"/>
      <c r="J688" s="88"/>
      <c r="K688" s="88"/>
      <c r="L688" s="88"/>
      <c r="M688" s="88"/>
    </row>
    <row r="689">
      <c r="A689" s="133"/>
      <c r="B689" s="133"/>
      <c r="C689" s="133"/>
      <c r="D689" s="133"/>
      <c r="E689" s="133"/>
      <c r="F689" s="133"/>
      <c r="G689" s="88"/>
      <c r="H689" s="88"/>
      <c r="I689" s="88"/>
      <c r="J689" s="88"/>
      <c r="K689" s="88"/>
      <c r="L689" s="88"/>
      <c r="M689" s="88"/>
    </row>
    <row r="690">
      <c r="A690" s="133"/>
      <c r="B690" s="133"/>
      <c r="C690" s="133"/>
      <c r="D690" s="133"/>
      <c r="E690" s="133"/>
      <c r="F690" s="133"/>
      <c r="G690" s="88"/>
      <c r="H690" s="88"/>
      <c r="I690" s="88"/>
      <c r="J690" s="88"/>
      <c r="K690" s="88"/>
      <c r="L690" s="88"/>
      <c r="M690" s="88"/>
    </row>
    <row r="691">
      <c r="A691" s="133"/>
      <c r="B691" s="133"/>
      <c r="C691" s="133"/>
      <c r="D691" s="133"/>
      <c r="E691" s="133"/>
      <c r="F691" s="133"/>
      <c r="G691" s="88"/>
      <c r="H691" s="88"/>
      <c r="I691" s="88"/>
      <c r="J691" s="88"/>
      <c r="K691" s="88"/>
      <c r="L691" s="88"/>
      <c r="M691" s="88"/>
    </row>
    <row r="692">
      <c r="A692" s="133"/>
      <c r="B692" s="133"/>
      <c r="C692" s="133"/>
      <c r="D692" s="133"/>
      <c r="E692" s="133"/>
      <c r="F692" s="133"/>
      <c r="G692" s="88"/>
      <c r="H692" s="88"/>
      <c r="I692" s="88"/>
      <c r="J692" s="88"/>
      <c r="K692" s="88"/>
      <c r="L692" s="88"/>
      <c r="M692" s="88"/>
    </row>
    <row r="693">
      <c r="A693" s="133"/>
      <c r="B693" s="133"/>
      <c r="C693" s="133"/>
      <c r="D693" s="133"/>
      <c r="E693" s="133"/>
      <c r="F693" s="133"/>
      <c r="G693" s="88"/>
      <c r="H693" s="88"/>
      <c r="I693" s="88"/>
      <c r="J693" s="88"/>
      <c r="K693" s="88"/>
      <c r="L693" s="88"/>
      <c r="M693" s="88"/>
    </row>
    <row r="694">
      <c r="A694" s="133"/>
      <c r="B694" s="133"/>
      <c r="C694" s="133"/>
      <c r="D694" s="133"/>
      <c r="E694" s="133"/>
      <c r="F694" s="133"/>
      <c r="G694" s="88"/>
      <c r="H694" s="88"/>
      <c r="I694" s="88"/>
      <c r="J694" s="88"/>
      <c r="K694" s="88"/>
      <c r="L694" s="88"/>
      <c r="M694" s="88"/>
    </row>
    <row r="695">
      <c r="A695" s="133"/>
      <c r="B695" s="133"/>
      <c r="C695" s="133"/>
      <c r="D695" s="133"/>
      <c r="E695" s="133"/>
      <c r="F695" s="133"/>
      <c r="G695" s="88"/>
      <c r="H695" s="88"/>
      <c r="I695" s="88"/>
      <c r="J695" s="88"/>
      <c r="K695" s="88"/>
      <c r="L695" s="88"/>
      <c r="M695" s="88"/>
    </row>
    <row r="696">
      <c r="A696" s="133"/>
      <c r="B696" s="133"/>
      <c r="C696" s="133"/>
      <c r="D696" s="133"/>
      <c r="E696" s="133"/>
      <c r="F696" s="133"/>
      <c r="G696" s="88"/>
      <c r="H696" s="88"/>
      <c r="I696" s="88"/>
      <c r="J696" s="88"/>
      <c r="K696" s="88"/>
      <c r="L696" s="88"/>
      <c r="M696" s="88"/>
    </row>
    <row r="697">
      <c r="A697" s="133"/>
      <c r="B697" s="133"/>
      <c r="C697" s="133"/>
      <c r="D697" s="133"/>
      <c r="E697" s="133"/>
      <c r="F697" s="133"/>
      <c r="G697" s="88"/>
      <c r="H697" s="88"/>
      <c r="I697" s="88"/>
      <c r="J697" s="88"/>
      <c r="K697" s="88"/>
      <c r="L697" s="88"/>
      <c r="M697" s="88"/>
    </row>
    <row r="698">
      <c r="A698" s="133"/>
      <c r="B698" s="133"/>
      <c r="C698" s="133"/>
      <c r="D698" s="133"/>
      <c r="E698" s="133"/>
      <c r="F698" s="133"/>
      <c r="G698" s="88"/>
      <c r="H698" s="88"/>
      <c r="I698" s="88"/>
      <c r="J698" s="88"/>
      <c r="K698" s="88"/>
      <c r="L698" s="88"/>
      <c r="M698" s="88"/>
    </row>
    <row r="699">
      <c r="A699" s="133"/>
      <c r="B699" s="133"/>
      <c r="C699" s="133"/>
      <c r="D699" s="133"/>
      <c r="E699" s="133"/>
      <c r="F699" s="133"/>
      <c r="G699" s="88"/>
      <c r="H699" s="88"/>
      <c r="I699" s="88"/>
      <c r="J699" s="88"/>
      <c r="K699" s="88"/>
      <c r="L699" s="88"/>
      <c r="M699" s="88"/>
    </row>
    <row r="700">
      <c r="A700" s="133"/>
      <c r="B700" s="133"/>
      <c r="C700" s="133"/>
      <c r="D700" s="133"/>
      <c r="E700" s="133"/>
      <c r="F700" s="133"/>
      <c r="G700" s="88"/>
      <c r="H700" s="88"/>
      <c r="I700" s="88"/>
      <c r="J700" s="88"/>
      <c r="K700" s="88"/>
      <c r="L700" s="88"/>
      <c r="M700" s="88"/>
    </row>
    <row r="701">
      <c r="A701" s="133"/>
      <c r="B701" s="133"/>
      <c r="C701" s="133"/>
      <c r="D701" s="133"/>
      <c r="E701" s="133"/>
      <c r="F701" s="133"/>
      <c r="G701" s="88"/>
      <c r="H701" s="88"/>
      <c r="I701" s="88"/>
      <c r="J701" s="88"/>
      <c r="K701" s="88"/>
      <c r="L701" s="88"/>
      <c r="M701" s="88"/>
    </row>
    <row r="702">
      <c r="A702" s="133"/>
      <c r="B702" s="133"/>
      <c r="C702" s="133"/>
      <c r="D702" s="133"/>
      <c r="E702" s="133"/>
      <c r="F702" s="133"/>
      <c r="G702" s="88"/>
      <c r="H702" s="88"/>
      <c r="I702" s="88"/>
      <c r="J702" s="88"/>
      <c r="K702" s="88"/>
      <c r="L702" s="88"/>
      <c r="M702" s="88"/>
    </row>
    <row r="703">
      <c r="A703" s="133"/>
      <c r="B703" s="133"/>
      <c r="C703" s="133"/>
      <c r="D703" s="133"/>
      <c r="E703" s="133"/>
      <c r="F703" s="133"/>
      <c r="G703" s="88"/>
      <c r="H703" s="88"/>
      <c r="I703" s="88"/>
      <c r="J703" s="88"/>
      <c r="K703" s="88"/>
      <c r="L703" s="88"/>
      <c r="M703" s="88"/>
    </row>
    <row r="704">
      <c r="A704" s="133"/>
      <c r="B704" s="133"/>
      <c r="C704" s="133"/>
      <c r="D704" s="133"/>
      <c r="E704" s="133"/>
      <c r="F704" s="133"/>
      <c r="G704" s="88"/>
      <c r="H704" s="88"/>
      <c r="I704" s="88"/>
      <c r="J704" s="88"/>
      <c r="K704" s="88"/>
      <c r="L704" s="88"/>
      <c r="M704" s="88"/>
    </row>
    <row r="705">
      <c r="A705" s="133"/>
      <c r="B705" s="133"/>
      <c r="C705" s="133"/>
      <c r="D705" s="133"/>
      <c r="E705" s="133"/>
      <c r="F705" s="133"/>
      <c r="G705" s="88"/>
      <c r="H705" s="88"/>
      <c r="I705" s="88"/>
      <c r="J705" s="88"/>
      <c r="K705" s="88"/>
      <c r="L705" s="88"/>
      <c r="M705" s="88"/>
    </row>
    <row r="706">
      <c r="A706" s="133"/>
      <c r="B706" s="133"/>
      <c r="C706" s="133"/>
      <c r="D706" s="133"/>
      <c r="E706" s="133"/>
      <c r="F706" s="133"/>
      <c r="G706" s="88"/>
      <c r="H706" s="88"/>
      <c r="I706" s="88"/>
      <c r="J706" s="88"/>
      <c r="K706" s="88"/>
      <c r="L706" s="88"/>
      <c r="M706" s="88"/>
    </row>
    <row r="707">
      <c r="A707" s="133"/>
      <c r="B707" s="133"/>
      <c r="C707" s="133"/>
      <c r="D707" s="133"/>
      <c r="E707" s="133"/>
      <c r="F707" s="133"/>
      <c r="G707" s="88"/>
      <c r="H707" s="88"/>
      <c r="I707" s="88"/>
      <c r="J707" s="88"/>
      <c r="K707" s="88"/>
      <c r="L707" s="88"/>
      <c r="M707" s="88"/>
    </row>
    <row r="708">
      <c r="A708" s="133"/>
      <c r="B708" s="133"/>
      <c r="C708" s="133"/>
      <c r="D708" s="133"/>
      <c r="E708" s="133"/>
      <c r="F708" s="133"/>
      <c r="G708" s="88"/>
      <c r="H708" s="88"/>
      <c r="I708" s="88"/>
      <c r="J708" s="88"/>
      <c r="K708" s="88"/>
      <c r="L708" s="88"/>
      <c r="M708" s="88"/>
    </row>
    <row r="709">
      <c r="A709" s="133"/>
      <c r="B709" s="133"/>
      <c r="C709" s="133"/>
      <c r="D709" s="133"/>
      <c r="E709" s="133"/>
      <c r="F709" s="133"/>
      <c r="G709" s="88"/>
      <c r="H709" s="88"/>
      <c r="I709" s="88"/>
      <c r="J709" s="88"/>
      <c r="K709" s="88"/>
      <c r="L709" s="88"/>
      <c r="M709" s="88"/>
    </row>
    <row r="710">
      <c r="A710" s="133"/>
      <c r="B710" s="133"/>
      <c r="C710" s="133"/>
      <c r="D710" s="133"/>
      <c r="E710" s="133"/>
      <c r="F710" s="133"/>
      <c r="G710" s="88"/>
      <c r="H710" s="88"/>
      <c r="I710" s="88"/>
      <c r="J710" s="88"/>
      <c r="K710" s="88"/>
      <c r="L710" s="88"/>
      <c r="M710" s="88"/>
    </row>
    <row r="711">
      <c r="A711" s="133"/>
      <c r="B711" s="133"/>
      <c r="C711" s="133"/>
      <c r="D711" s="133"/>
      <c r="E711" s="133"/>
      <c r="F711" s="133"/>
      <c r="G711" s="88"/>
      <c r="H711" s="88"/>
      <c r="I711" s="88"/>
      <c r="J711" s="88"/>
      <c r="K711" s="88"/>
      <c r="L711" s="88"/>
      <c r="M711" s="88"/>
    </row>
    <row r="712">
      <c r="A712" s="133"/>
      <c r="B712" s="133"/>
      <c r="C712" s="133"/>
      <c r="D712" s="133"/>
      <c r="E712" s="133"/>
      <c r="F712" s="133"/>
      <c r="G712" s="88"/>
      <c r="H712" s="88"/>
      <c r="I712" s="88"/>
      <c r="J712" s="88"/>
      <c r="K712" s="88"/>
      <c r="L712" s="88"/>
      <c r="M712" s="88"/>
    </row>
    <row r="713">
      <c r="A713" s="133"/>
      <c r="B713" s="133"/>
      <c r="C713" s="133"/>
      <c r="D713" s="133"/>
      <c r="E713" s="133"/>
      <c r="F713" s="133"/>
      <c r="G713" s="88"/>
      <c r="H713" s="88"/>
      <c r="I713" s="88"/>
      <c r="J713" s="88"/>
      <c r="K713" s="88"/>
      <c r="L713" s="88"/>
      <c r="M713" s="88"/>
    </row>
    <row r="714">
      <c r="A714" s="133"/>
      <c r="B714" s="133"/>
      <c r="C714" s="133"/>
      <c r="D714" s="133"/>
      <c r="E714" s="133"/>
      <c r="F714" s="133"/>
      <c r="G714" s="88"/>
      <c r="H714" s="88"/>
      <c r="I714" s="88"/>
      <c r="J714" s="88"/>
      <c r="K714" s="88"/>
      <c r="L714" s="88"/>
      <c r="M714" s="88"/>
    </row>
    <row r="715">
      <c r="A715" s="133"/>
      <c r="B715" s="133"/>
      <c r="C715" s="133"/>
      <c r="D715" s="133"/>
      <c r="E715" s="133"/>
      <c r="F715" s="133"/>
      <c r="G715" s="88"/>
      <c r="H715" s="88"/>
      <c r="I715" s="88"/>
      <c r="J715" s="88"/>
      <c r="K715" s="88"/>
      <c r="L715" s="88"/>
      <c r="M715" s="88"/>
    </row>
    <row r="716">
      <c r="A716" s="133"/>
      <c r="B716" s="133"/>
      <c r="C716" s="133"/>
      <c r="D716" s="133"/>
      <c r="E716" s="133"/>
      <c r="F716" s="133"/>
      <c r="G716" s="88"/>
      <c r="H716" s="88"/>
      <c r="I716" s="88"/>
      <c r="J716" s="88"/>
      <c r="K716" s="88"/>
      <c r="L716" s="88"/>
      <c r="M716" s="88"/>
    </row>
    <row r="717">
      <c r="A717" s="133"/>
      <c r="B717" s="133"/>
      <c r="C717" s="133"/>
      <c r="D717" s="133"/>
      <c r="E717" s="133"/>
      <c r="F717" s="133"/>
      <c r="G717" s="88"/>
      <c r="H717" s="88"/>
      <c r="I717" s="88"/>
      <c r="J717" s="88"/>
      <c r="K717" s="88"/>
      <c r="L717" s="88"/>
      <c r="M717" s="88"/>
    </row>
    <row r="718">
      <c r="A718" s="133"/>
      <c r="B718" s="133"/>
      <c r="C718" s="133"/>
      <c r="D718" s="133"/>
      <c r="E718" s="133"/>
      <c r="F718" s="133"/>
      <c r="G718" s="88"/>
      <c r="H718" s="88"/>
      <c r="I718" s="88"/>
      <c r="J718" s="88"/>
      <c r="K718" s="88"/>
      <c r="L718" s="88"/>
      <c r="M718" s="88"/>
    </row>
    <row r="719">
      <c r="A719" s="133"/>
      <c r="B719" s="133"/>
      <c r="C719" s="133"/>
      <c r="D719" s="133"/>
      <c r="E719" s="133"/>
      <c r="F719" s="133"/>
      <c r="G719" s="88"/>
      <c r="H719" s="88"/>
      <c r="I719" s="88"/>
      <c r="J719" s="88"/>
      <c r="K719" s="88"/>
      <c r="L719" s="88"/>
      <c r="M719" s="88"/>
    </row>
    <row r="720">
      <c r="A720" s="133"/>
      <c r="B720" s="133"/>
      <c r="C720" s="133"/>
      <c r="D720" s="133"/>
      <c r="E720" s="133"/>
      <c r="F720" s="133"/>
      <c r="G720" s="88"/>
      <c r="H720" s="88"/>
      <c r="I720" s="88"/>
      <c r="J720" s="88"/>
      <c r="K720" s="88"/>
      <c r="L720" s="88"/>
      <c r="M720" s="88"/>
    </row>
    <row r="721">
      <c r="A721" s="133"/>
      <c r="B721" s="133"/>
      <c r="C721" s="133"/>
      <c r="D721" s="133"/>
      <c r="E721" s="133"/>
      <c r="F721" s="133"/>
      <c r="G721" s="88"/>
      <c r="H721" s="88"/>
      <c r="I721" s="88"/>
      <c r="J721" s="88"/>
      <c r="K721" s="88"/>
      <c r="L721" s="88"/>
      <c r="M721" s="88"/>
    </row>
    <row r="722">
      <c r="A722" s="133"/>
      <c r="B722" s="133"/>
      <c r="C722" s="133"/>
      <c r="D722" s="133"/>
      <c r="E722" s="133"/>
      <c r="F722" s="133"/>
      <c r="G722" s="88"/>
      <c r="H722" s="88"/>
      <c r="I722" s="88"/>
      <c r="J722" s="88"/>
      <c r="K722" s="88"/>
      <c r="L722" s="88"/>
      <c r="M722" s="88"/>
    </row>
    <row r="723">
      <c r="A723" s="133"/>
      <c r="B723" s="133"/>
      <c r="C723" s="133"/>
      <c r="D723" s="133"/>
      <c r="E723" s="133"/>
      <c r="F723" s="133"/>
      <c r="G723" s="88"/>
      <c r="H723" s="88"/>
      <c r="I723" s="88"/>
      <c r="J723" s="88"/>
      <c r="K723" s="88"/>
      <c r="L723" s="88"/>
      <c r="M723" s="88"/>
    </row>
    <row r="724">
      <c r="A724" s="133"/>
      <c r="B724" s="133"/>
      <c r="C724" s="133"/>
      <c r="D724" s="133"/>
      <c r="E724" s="133"/>
      <c r="F724" s="133"/>
      <c r="G724" s="88"/>
      <c r="H724" s="88"/>
      <c r="I724" s="88"/>
      <c r="J724" s="88"/>
      <c r="K724" s="88"/>
      <c r="L724" s="88"/>
      <c r="M724" s="88"/>
    </row>
    <row r="725">
      <c r="A725" s="133"/>
      <c r="B725" s="133"/>
      <c r="C725" s="133"/>
      <c r="D725" s="133"/>
      <c r="E725" s="133"/>
      <c r="F725" s="133"/>
      <c r="G725" s="88"/>
      <c r="H725" s="88"/>
      <c r="I725" s="88"/>
      <c r="J725" s="88"/>
      <c r="K725" s="88"/>
      <c r="L725" s="88"/>
      <c r="M725" s="88"/>
    </row>
    <row r="726">
      <c r="A726" s="133"/>
      <c r="B726" s="133"/>
      <c r="C726" s="133"/>
      <c r="D726" s="133"/>
      <c r="E726" s="133"/>
      <c r="F726" s="133"/>
      <c r="G726" s="88"/>
      <c r="H726" s="88"/>
      <c r="I726" s="88"/>
      <c r="J726" s="88"/>
      <c r="K726" s="88"/>
      <c r="L726" s="88"/>
      <c r="M726" s="88"/>
    </row>
    <row r="727">
      <c r="A727" s="133"/>
      <c r="B727" s="133"/>
      <c r="C727" s="133"/>
      <c r="D727" s="133"/>
      <c r="E727" s="133"/>
      <c r="F727" s="133"/>
      <c r="G727" s="88"/>
      <c r="H727" s="88"/>
      <c r="I727" s="88"/>
      <c r="J727" s="88"/>
      <c r="K727" s="88"/>
      <c r="L727" s="88"/>
      <c r="M727" s="88"/>
    </row>
    <row r="728">
      <c r="A728" s="133"/>
      <c r="B728" s="133"/>
      <c r="C728" s="133"/>
      <c r="D728" s="133"/>
      <c r="E728" s="133"/>
      <c r="F728" s="133"/>
      <c r="G728" s="88"/>
      <c r="H728" s="88"/>
      <c r="I728" s="88"/>
      <c r="J728" s="88"/>
      <c r="K728" s="88"/>
      <c r="L728" s="88"/>
      <c r="M728" s="88"/>
    </row>
    <row r="729">
      <c r="A729" s="133"/>
      <c r="B729" s="133"/>
      <c r="C729" s="133"/>
      <c r="D729" s="133"/>
      <c r="E729" s="133"/>
      <c r="F729" s="133"/>
      <c r="G729" s="88"/>
      <c r="H729" s="88"/>
      <c r="I729" s="88"/>
      <c r="J729" s="88"/>
      <c r="K729" s="88"/>
      <c r="L729" s="88"/>
      <c r="M729" s="88"/>
    </row>
    <row r="730">
      <c r="A730" s="133"/>
      <c r="B730" s="133"/>
      <c r="C730" s="133"/>
      <c r="D730" s="133"/>
      <c r="E730" s="133"/>
      <c r="F730" s="133"/>
      <c r="G730" s="88"/>
      <c r="H730" s="88"/>
      <c r="I730" s="88"/>
      <c r="J730" s="88"/>
      <c r="K730" s="88"/>
      <c r="L730" s="88"/>
      <c r="M730" s="88"/>
    </row>
    <row r="731">
      <c r="A731" s="133"/>
      <c r="B731" s="133"/>
      <c r="C731" s="133"/>
      <c r="D731" s="133"/>
      <c r="E731" s="133"/>
      <c r="F731" s="133"/>
      <c r="G731" s="88"/>
      <c r="H731" s="88"/>
      <c r="I731" s="88"/>
      <c r="J731" s="88"/>
      <c r="K731" s="88"/>
      <c r="L731" s="88"/>
      <c r="M731" s="88"/>
    </row>
    <row r="732">
      <c r="A732" s="133"/>
      <c r="B732" s="133"/>
      <c r="C732" s="133"/>
      <c r="D732" s="133"/>
      <c r="E732" s="133"/>
      <c r="F732" s="133"/>
      <c r="G732" s="88"/>
      <c r="H732" s="88"/>
      <c r="I732" s="88"/>
      <c r="J732" s="88"/>
      <c r="K732" s="88"/>
      <c r="L732" s="88"/>
      <c r="M732" s="88"/>
    </row>
    <row r="733">
      <c r="A733" s="133"/>
      <c r="B733" s="133"/>
      <c r="C733" s="133"/>
      <c r="D733" s="133"/>
      <c r="E733" s="133"/>
      <c r="F733" s="133"/>
      <c r="G733" s="88"/>
      <c r="H733" s="88"/>
      <c r="I733" s="88"/>
      <c r="J733" s="88"/>
      <c r="K733" s="88"/>
      <c r="L733" s="88"/>
      <c r="M733" s="88"/>
    </row>
    <row r="734">
      <c r="A734" s="133"/>
      <c r="B734" s="133"/>
      <c r="C734" s="133"/>
      <c r="D734" s="133"/>
      <c r="E734" s="133"/>
      <c r="F734" s="133"/>
      <c r="G734" s="88"/>
      <c r="H734" s="88"/>
      <c r="I734" s="88"/>
      <c r="J734" s="88"/>
      <c r="K734" s="88"/>
      <c r="L734" s="88"/>
      <c r="M734" s="88"/>
    </row>
    <row r="735">
      <c r="A735" s="133"/>
      <c r="B735" s="133"/>
      <c r="C735" s="133"/>
      <c r="D735" s="133"/>
      <c r="E735" s="133"/>
      <c r="F735" s="133"/>
      <c r="G735" s="88"/>
      <c r="H735" s="88"/>
      <c r="I735" s="88"/>
      <c r="J735" s="88"/>
      <c r="K735" s="88"/>
      <c r="L735" s="88"/>
      <c r="M735" s="88"/>
    </row>
    <row r="736">
      <c r="A736" s="133"/>
      <c r="B736" s="133"/>
      <c r="C736" s="133"/>
      <c r="D736" s="133"/>
      <c r="E736" s="133"/>
      <c r="F736" s="133"/>
      <c r="G736" s="88"/>
      <c r="H736" s="88"/>
      <c r="I736" s="88"/>
      <c r="J736" s="88"/>
      <c r="K736" s="88"/>
      <c r="L736" s="88"/>
      <c r="M736" s="88"/>
    </row>
    <row r="737">
      <c r="A737" s="133"/>
      <c r="B737" s="133"/>
      <c r="C737" s="133"/>
      <c r="D737" s="133"/>
      <c r="E737" s="133"/>
      <c r="F737" s="133"/>
      <c r="G737" s="88"/>
      <c r="H737" s="88"/>
      <c r="I737" s="88"/>
      <c r="J737" s="88"/>
      <c r="K737" s="88"/>
      <c r="L737" s="88"/>
      <c r="M737" s="88"/>
    </row>
    <row r="738">
      <c r="A738" s="133"/>
      <c r="B738" s="133"/>
      <c r="C738" s="133"/>
      <c r="D738" s="133"/>
      <c r="E738" s="133"/>
      <c r="F738" s="133"/>
      <c r="G738" s="88"/>
      <c r="H738" s="88"/>
      <c r="I738" s="88"/>
      <c r="J738" s="88"/>
      <c r="K738" s="88"/>
      <c r="L738" s="88"/>
      <c r="M738" s="88"/>
    </row>
    <row r="739">
      <c r="A739" s="133"/>
      <c r="B739" s="133"/>
      <c r="C739" s="133"/>
      <c r="D739" s="133"/>
      <c r="E739" s="133"/>
      <c r="F739" s="133"/>
      <c r="G739" s="88"/>
      <c r="H739" s="88"/>
      <c r="I739" s="88"/>
      <c r="J739" s="88"/>
      <c r="K739" s="88"/>
      <c r="L739" s="88"/>
      <c r="M739" s="88"/>
    </row>
    <row r="740">
      <c r="A740" s="133"/>
      <c r="B740" s="133"/>
      <c r="C740" s="133"/>
      <c r="D740" s="133"/>
      <c r="E740" s="133"/>
      <c r="F740" s="133"/>
      <c r="G740" s="88"/>
      <c r="H740" s="88"/>
      <c r="I740" s="88"/>
      <c r="J740" s="88"/>
      <c r="K740" s="88"/>
      <c r="L740" s="88"/>
      <c r="M740" s="88"/>
    </row>
    <row r="741">
      <c r="A741" s="133"/>
      <c r="B741" s="133"/>
      <c r="C741" s="133"/>
      <c r="D741" s="133"/>
      <c r="E741" s="133"/>
      <c r="F741" s="133"/>
      <c r="G741" s="88"/>
      <c r="H741" s="88"/>
      <c r="I741" s="88"/>
      <c r="J741" s="88"/>
      <c r="K741" s="88"/>
      <c r="L741" s="88"/>
      <c r="M741" s="88"/>
    </row>
    <row r="742">
      <c r="A742" s="133"/>
      <c r="B742" s="133"/>
      <c r="C742" s="133"/>
      <c r="D742" s="133"/>
      <c r="E742" s="133"/>
      <c r="F742" s="133"/>
      <c r="G742" s="88"/>
      <c r="H742" s="88"/>
      <c r="I742" s="88"/>
      <c r="J742" s="88"/>
      <c r="K742" s="88"/>
      <c r="L742" s="88"/>
      <c r="M742" s="88"/>
    </row>
    <row r="743">
      <c r="I743" s="88"/>
      <c r="J743" s="88"/>
      <c r="K743" s="88"/>
      <c r="L743" s="88"/>
      <c r="M743" s="88"/>
    </row>
    <row r="744">
      <c r="I744" s="88"/>
      <c r="J744" s="88"/>
      <c r="K744" s="88"/>
      <c r="L744" s="88"/>
      <c r="M744" s="88"/>
    </row>
    <row r="745">
      <c r="I745" s="88"/>
      <c r="J745" s="88"/>
      <c r="K745" s="88"/>
      <c r="L745" s="88"/>
      <c r="M745" s="88"/>
    </row>
    <row r="746">
      <c r="I746" s="88"/>
      <c r="J746" s="88"/>
      <c r="K746" s="88"/>
      <c r="L746" s="88"/>
      <c r="M746" s="88"/>
    </row>
    <row r="747">
      <c r="I747" s="88"/>
      <c r="J747" s="88"/>
      <c r="K747" s="88"/>
      <c r="L747" s="88"/>
      <c r="M747" s="88"/>
    </row>
    <row r="748">
      <c r="I748" s="88"/>
      <c r="J748" s="88"/>
      <c r="K748" s="88"/>
      <c r="L748" s="88"/>
      <c r="M748" s="88"/>
    </row>
    <row r="749">
      <c r="I749" s="88"/>
      <c r="J749" s="88"/>
      <c r="K749" s="88"/>
      <c r="L749" s="88"/>
      <c r="M749" s="88"/>
    </row>
    <row r="750">
      <c r="I750" s="88"/>
      <c r="J750" s="88"/>
      <c r="K750" s="88"/>
      <c r="L750" s="88"/>
      <c r="M750" s="88"/>
    </row>
  </sheetData>
  <customSheetViews>
    <customSheetView guid="{F9C9E0E7-0550-463F-B14E-7FEAF4915494}" filter="1" showAutoFilter="1">
      <autoFilter ref="$A$9:$H$189"/>
    </customSheetView>
  </customSheetViews>
  <mergeCells count="3">
    <mergeCell ref="A3:H3"/>
    <mergeCell ref="K3:L3"/>
    <mergeCell ref="K8:L8"/>
  </mergeCells>
  <dataValidations>
    <dataValidation type="custom" allowBlank="1" showDropDown="1" sqref="E10:E189">
      <formula1>OR(NOT(ISERROR(DATEVALUE(E10))), AND(ISNUMBER(E10), LEFT(CELL("format", E10))="D"))</formula1>
    </dataValidation>
    <dataValidation type="custom" allowBlank="1" showDropDown="1" sqref="D10:D189">
      <formula1>AND(ISNUMBER(D10),(NOT(OR(NOT(ISERROR(DATEVALUE(D10))), AND(ISNUMBER(D10), LEFT(CELL("format", D10))="D")))))</formula1>
    </dataValidation>
    <dataValidation allowBlank="1" showDropDown="1" sqref="B10:C189 F10:F189"/>
  </dataValidations>
  <hyperlinks>
    <hyperlink r:id="rId2" ref="G70"/>
    <hyperlink r:id="rId3" ref="G180"/>
    <hyperlink r:id="rId4" ref="G181"/>
    <hyperlink r:id="rId5" ref="G182"/>
    <hyperlink r:id="rId6" ref="G183"/>
    <hyperlink r:id="rId7" ref="G184"/>
    <hyperlink r:id="rId8" ref="G185"/>
    <hyperlink r:id="rId9" ref="G186"/>
  </hyperlinks>
  <drawing r:id="rId10"/>
  <tableParts count="3">
    <tablePart r:id="rId14"/>
    <tablePart r:id="rId15"/>
    <tablePart r:id="rId1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1.38"/>
    <col customWidth="1" min="2" max="2" width="18.75"/>
    <col customWidth="1" min="3" max="3" width="18.13"/>
    <col customWidth="1" min="5" max="5" width="45.75"/>
  </cols>
  <sheetData>
    <row r="1">
      <c r="D1" s="88"/>
      <c r="E1" s="135" t="s">
        <v>763</v>
      </c>
    </row>
    <row r="2">
      <c r="D2" s="88"/>
    </row>
    <row r="3">
      <c r="D3" s="88"/>
    </row>
    <row r="4">
      <c r="A4" s="88"/>
      <c r="B4" s="88"/>
      <c r="C4" s="88"/>
      <c r="D4" s="88"/>
      <c r="E4" s="88"/>
    </row>
    <row r="5">
      <c r="A5" s="88"/>
      <c r="B5" s="88"/>
      <c r="C5" s="88"/>
      <c r="D5" s="88"/>
      <c r="E5" s="88"/>
    </row>
    <row r="6">
      <c r="A6" s="88"/>
      <c r="B6" s="88"/>
      <c r="C6" s="88"/>
      <c r="D6" s="88"/>
      <c r="E6" s="88"/>
    </row>
    <row r="7">
      <c r="A7" s="88"/>
      <c r="B7" s="88"/>
      <c r="C7" s="88"/>
      <c r="D7" s="88"/>
      <c r="E7" s="88"/>
    </row>
    <row r="8">
      <c r="A8" s="88"/>
      <c r="B8" s="88"/>
      <c r="C8" s="88"/>
      <c r="D8" s="88"/>
      <c r="E8" s="88"/>
    </row>
    <row r="9">
      <c r="A9" s="88"/>
      <c r="B9" s="88"/>
      <c r="C9" s="88"/>
      <c r="D9" s="88"/>
      <c r="E9" s="88"/>
    </row>
    <row r="10">
      <c r="A10" s="88"/>
      <c r="B10" s="88"/>
      <c r="C10" s="88"/>
      <c r="D10" s="88"/>
      <c r="E10" s="88"/>
    </row>
    <row r="11">
      <c r="A11" s="88"/>
      <c r="B11" s="88"/>
      <c r="C11" s="88"/>
      <c r="D11" s="88"/>
      <c r="E11" s="88"/>
    </row>
    <row r="12">
      <c r="A12" s="88"/>
      <c r="B12" s="88"/>
      <c r="C12" s="88"/>
      <c r="D12" s="88"/>
      <c r="E12" s="88"/>
    </row>
    <row r="13">
      <c r="A13" s="88"/>
      <c r="B13" s="88"/>
      <c r="C13" s="88"/>
      <c r="D13" s="88"/>
      <c r="E13" s="88"/>
    </row>
    <row r="14">
      <c r="A14" s="88"/>
      <c r="B14" s="88"/>
      <c r="C14" s="88"/>
      <c r="D14" s="88"/>
      <c r="E14" s="88"/>
    </row>
    <row r="15">
      <c r="A15" s="88"/>
      <c r="B15" s="88"/>
      <c r="C15" s="88"/>
      <c r="D15" s="88"/>
      <c r="E15" s="88"/>
    </row>
    <row r="16">
      <c r="A16" s="88"/>
      <c r="B16" s="88"/>
      <c r="C16" s="88"/>
      <c r="D16" s="88"/>
      <c r="E16" s="88"/>
    </row>
    <row r="17">
      <c r="A17" s="88"/>
      <c r="B17" s="88"/>
      <c r="C17" s="88"/>
      <c r="D17" s="88"/>
      <c r="E17" s="88"/>
    </row>
    <row r="18">
      <c r="A18" s="88"/>
      <c r="B18" s="88"/>
      <c r="C18" s="88"/>
      <c r="D18" s="88"/>
      <c r="E18" s="88"/>
    </row>
    <row r="19">
      <c r="A19" s="88"/>
      <c r="B19" s="88"/>
      <c r="C19" s="88"/>
      <c r="D19" s="88"/>
      <c r="E19" s="88"/>
    </row>
    <row r="20">
      <c r="A20" s="88"/>
      <c r="B20" s="88"/>
      <c r="C20" s="88"/>
      <c r="D20" s="88"/>
      <c r="E20" s="88"/>
    </row>
    <row r="21">
      <c r="A21" s="88"/>
      <c r="B21" s="88"/>
      <c r="C21" s="88"/>
      <c r="D21" s="88"/>
      <c r="E21" s="88"/>
    </row>
    <row r="22">
      <c r="A22" s="88"/>
      <c r="B22" s="88"/>
      <c r="C22" s="88"/>
      <c r="D22" s="88"/>
      <c r="E22" s="88"/>
    </row>
    <row r="23">
      <c r="A23" s="88"/>
      <c r="B23" s="88"/>
      <c r="C23" s="88"/>
      <c r="D23" s="88"/>
      <c r="E23" s="88"/>
    </row>
    <row r="24">
      <c r="A24" s="88"/>
      <c r="B24" s="88"/>
      <c r="C24" s="88"/>
      <c r="D24" s="88"/>
      <c r="E24" s="88"/>
    </row>
    <row r="25">
      <c r="A25" s="88"/>
      <c r="B25" s="88"/>
      <c r="C25" s="88"/>
      <c r="D25" s="88"/>
      <c r="E25" s="88"/>
    </row>
    <row r="26">
      <c r="A26" s="88"/>
      <c r="B26" s="88"/>
      <c r="C26" s="88"/>
      <c r="D26" s="88"/>
      <c r="E26" s="88"/>
    </row>
    <row r="27">
      <c r="A27" s="88"/>
      <c r="B27" s="88"/>
      <c r="C27" s="88"/>
      <c r="D27" s="88"/>
      <c r="E27" s="88"/>
    </row>
    <row r="28">
      <c r="A28" s="88"/>
      <c r="B28" s="88"/>
      <c r="C28" s="88"/>
      <c r="D28" s="88"/>
      <c r="E28" s="88"/>
    </row>
    <row r="29">
      <c r="A29" s="88"/>
      <c r="B29" s="88"/>
      <c r="C29" s="88"/>
      <c r="D29" s="88"/>
      <c r="E29" s="88"/>
    </row>
    <row r="30">
      <c r="A30" s="88"/>
      <c r="B30" s="88"/>
      <c r="C30" s="88"/>
      <c r="D30" s="88"/>
      <c r="E30" s="88"/>
    </row>
    <row r="31">
      <c r="A31" s="88"/>
      <c r="B31" s="88"/>
      <c r="C31" s="88"/>
      <c r="D31" s="88"/>
      <c r="E31" s="88"/>
    </row>
    <row r="32">
      <c r="A32" s="88"/>
      <c r="B32" s="88"/>
      <c r="C32" s="88"/>
      <c r="D32" s="88"/>
      <c r="E32" s="88"/>
    </row>
    <row r="33">
      <c r="A33" s="88"/>
      <c r="B33" s="88"/>
      <c r="C33" s="88"/>
      <c r="D33" s="88"/>
      <c r="E33" s="88"/>
    </row>
    <row r="34">
      <c r="A34" s="88"/>
      <c r="B34" s="88"/>
      <c r="C34" s="88"/>
      <c r="D34" s="88"/>
      <c r="E34" s="88"/>
    </row>
    <row r="35">
      <c r="A35" s="88"/>
      <c r="B35" s="88"/>
      <c r="C35" s="88"/>
      <c r="D35" s="88"/>
      <c r="E35" s="88"/>
    </row>
    <row r="36">
      <c r="A36" s="88"/>
      <c r="B36" s="88"/>
      <c r="C36" s="88"/>
      <c r="D36" s="88"/>
      <c r="E36" s="88"/>
    </row>
    <row r="37">
      <c r="A37" s="88"/>
      <c r="B37" s="88"/>
      <c r="C37" s="88"/>
      <c r="D37" s="88"/>
      <c r="E37" s="88"/>
    </row>
    <row r="38">
      <c r="A38" s="88"/>
      <c r="B38" s="88"/>
      <c r="C38" s="88"/>
      <c r="D38" s="88"/>
      <c r="E38" s="88"/>
    </row>
    <row r="39">
      <c r="A39" s="88"/>
      <c r="B39" s="88"/>
      <c r="C39" s="88"/>
      <c r="D39" s="88"/>
      <c r="E39" s="88"/>
    </row>
    <row r="40">
      <c r="A40" s="88"/>
      <c r="B40" s="88"/>
      <c r="C40" s="88"/>
      <c r="D40" s="88"/>
      <c r="E40" s="88"/>
    </row>
    <row r="41">
      <c r="A41" s="88"/>
      <c r="B41" s="88"/>
      <c r="C41" s="88"/>
      <c r="D41" s="88"/>
      <c r="E41" s="88"/>
    </row>
    <row r="42">
      <c r="A42" s="88"/>
      <c r="B42" s="88"/>
      <c r="C42" s="88"/>
      <c r="D42" s="88"/>
      <c r="E42" s="88"/>
    </row>
    <row r="43">
      <c r="A43" s="88"/>
      <c r="B43" s="88"/>
      <c r="C43" s="88"/>
      <c r="D43" s="88"/>
      <c r="E43" s="88"/>
    </row>
    <row r="44">
      <c r="A44" s="88"/>
      <c r="B44" s="88"/>
      <c r="C44" s="88"/>
      <c r="D44" s="88"/>
      <c r="E44" s="88"/>
    </row>
    <row r="45">
      <c r="A45" s="88"/>
      <c r="B45" s="88"/>
      <c r="C45" s="88"/>
      <c r="D45" s="88"/>
      <c r="E45" s="88"/>
    </row>
    <row r="46">
      <c r="A46" s="88"/>
      <c r="B46" s="88"/>
      <c r="C46" s="88"/>
      <c r="D46" s="88"/>
      <c r="E46" s="88"/>
    </row>
    <row r="47">
      <c r="A47" s="88"/>
      <c r="B47" s="88"/>
      <c r="C47" s="88"/>
      <c r="D47" s="88"/>
      <c r="E47" s="88"/>
    </row>
    <row r="48">
      <c r="A48" s="88"/>
      <c r="B48" s="88"/>
      <c r="C48" s="88"/>
      <c r="D48" s="88"/>
      <c r="E48" s="88"/>
    </row>
    <row r="49">
      <c r="A49" s="88"/>
      <c r="B49" s="88"/>
      <c r="C49" s="88"/>
      <c r="D49" s="88"/>
      <c r="E49" s="88"/>
    </row>
    <row r="50">
      <c r="A50" s="88"/>
      <c r="B50" s="88"/>
      <c r="C50" s="88"/>
      <c r="D50" s="88"/>
      <c r="E50" s="88"/>
    </row>
    <row r="51">
      <c r="A51" s="88"/>
      <c r="B51" s="88"/>
      <c r="C51" s="88"/>
      <c r="D51" s="88"/>
      <c r="E51" s="88"/>
    </row>
    <row r="52">
      <c r="A52" s="88"/>
      <c r="B52" s="88"/>
      <c r="C52" s="88"/>
      <c r="D52" s="88"/>
      <c r="E52" s="88"/>
    </row>
    <row r="53">
      <c r="A53" s="88"/>
      <c r="B53" s="88"/>
      <c r="C53" s="88"/>
      <c r="D53" s="88"/>
      <c r="E53" s="88"/>
    </row>
    <row r="54">
      <c r="A54" s="88"/>
      <c r="B54" s="88"/>
      <c r="C54" s="88"/>
      <c r="D54" s="88"/>
      <c r="E54" s="88"/>
    </row>
    <row r="55">
      <c r="A55" s="88"/>
      <c r="B55" s="88"/>
      <c r="C55" s="88"/>
      <c r="D55" s="88"/>
      <c r="E55" s="88"/>
    </row>
    <row r="56">
      <c r="A56" s="88"/>
      <c r="B56" s="88"/>
      <c r="C56" s="88"/>
      <c r="D56" s="88"/>
      <c r="E56" s="88"/>
    </row>
    <row r="57">
      <c r="A57" s="88"/>
      <c r="B57" s="88"/>
      <c r="C57" s="88"/>
      <c r="D57" s="88"/>
      <c r="E57" s="88"/>
    </row>
    <row r="58">
      <c r="A58" s="88"/>
      <c r="B58" s="88"/>
      <c r="C58" s="88"/>
      <c r="D58" s="88"/>
      <c r="E58" s="88"/>
    </row>
    <row r="59">
      <c r="A59" s="88"/>
      <c r="B59" s="88"/>
      <c r="C59" s="88"/>
      <c r="D59" s="88"/>
      <c r="E59" s="88"/>
    </row>
    <row r="60">
      <c r="A60" s="88"/>
      <c r="B60" s="88"/>
      <c r="C60" s="88"/>
      <c r="D60" s="88"/>
      <c r="E60" s="88"/>
    </row>
    <row r="61">
      <c r="A61" s="88"/>
      <c r="B61" s="88"/>
      <c r="C61" s="88"/>
      <c r="D61" s="88"/>
      <c r="E61" s="88"/>
    </row>
    <row r="62">
      <c r="A62" s="88"/>
      <c r="B62" s="88"/>
      <c r="C62" s="88"/>
      <c r="D62" s="88"/>
      <c r="E62" s="88"/>
    </row>
    <row r="63">
      <c r="A63" s="88"/>
      <c r="B63" s="88"/>
      <c r="C63" s="88"/>
      <c r="D63" s="88"/>
      <c r="E63" s="88"/>
    </row>
    <row r="64">
      <c r="A64" s="88"/>
      <c r="B64" s="88"/>
      <c r="C64" s="88"/>
      <c r="D64" s="88"/>
      <c r="E64" s="88"/>
    </row>
    <row r="65">
      <c r="A65" s="88"/>
      <c r="B65" s="88"/>
      <c r="C65" s="88"/>
      <c r="D65" s="88"/>
      <c r="E65" s="88"/>
    </row>
    <row r="66">
      <c r="A66" s="88"/>
      <c r="B66" s="88"/>
      <c r="C66" s="88"/>
      <c r="D66" s="88"/>
      <c r="E66" s="88"/>
    </row>
    <row r="67">
      <c r="A67" s="88"/>
      <c r="B67" s="88"/>
      <c r="C67" s="88"/>
      <c r="D67" s="88"/>
      <c r="E67" s="88"/>
    </row>
    <row r="68">
      <c r="A68" s="88"/>
      <c r="B68" s="88"/>
      <c r="C68" s="88"/>
      <c r="D68" s="88"/>
      <c r="E68" s="88"/>
    </row>
    <row r="69">
      <c r="A69" s="88"/>
      <c r="B69" s="88"/>
      <c r="C69" s="88"/>
      <c r="D69" s="88"/>
      <c r="E69" s="88"/>
    </row>
    <row r="70">
      <c r="A70" s="88"/>
      <c r="B70" s="88"/>
      <c r="C70" s="88"/>
      <c r="D70" s="88"/>
      <c r="E70" s="88"/>
    </row>
    <row r="71">
      <c r="A71" s="88"/>
      <c r="B71" s="88"/>
      <c r="C71" s="88"/>
      <c r="D71" s="88"/>
      <c r="E71" s="88"/>
    </row>
    <row r="72">
      <c r="A72" s="88"/>
      <c r="B72" s="88"/>
      <c r="C72" s="88"/>
      <c r="D72" s="88"/>
      <c r="E72" s="88"/>
    </row>
    <row r="73">
      <c r="A73" s="88"/>
      <c r="B73" s="88"/>
      <c r="C73" s="88"/>
      <c r="D73" s="88"/>
      <c r="E73" s="88"/>
    </row>
    <row r="74">
      <c r="A74" s="88"/>
      <c r="B74" s="88"/>
      <c r="C74" s="88"/>
      <c r="D74" s="88"/>
      <c r="E74" s="88"/>
    </row>
    <row r="75">
      <c r="A75" s="88"/>
      <c r="B75" s="88"/>
      <c r="C75" s="88"/>
      <c r="D75" s="88"/>
      <c r="E75" s="88"/>
    </row>
    <row r="76">
      <c r="A76" s="88"/>
      <c r="B76" s="88"/>
      <c r="C76" s="88"/>
      <c r="D76" s="88"/>
      <c r="E76" s="88"/>
    </row>
    <row r="77">
      <c r="A77" s="88"/>
      <c r="B77" s="88"/>
      <c r="C77" s="88"/>
      <c r="D77" s="88"/>
      <c r="E77" s="88"/>
    </row>
    <row r="78">
      <c r="A78" s="88"/>
      <c r="B78" s="88"/>
      <c r="C78" s="88"/>
      <c r="D78" s="88"/>
      <c r="E78" s="88"/>
    </row>
    <row r="79">
      <c r="A79" s="88"/>
      <c r="B79" s="88"/>
      <c r="C79" s="88"/>
      <c r="D79" s="88"/>
      <c r="E79" s="88"/>
    </row>
    <row r="80">
      <c r="A80" s="88"/>
      <c r="B80" s="88"/>
      <c r="C80" s="88"/>
      <c r="D80" s="88"/>
      <c r="E80" s="88"/>
    </row>
    <row r="81">
      <c r="A81" s="88"/>
      <c r="B81" s="88"/>
      <c r="C81" s="88"/>
      <c r="D81" s="88"/>
      <c r="E81" s="88"/>
    </row>
    <row r="82">
      <c r="A82" s="88"/>
      <c r="B82" s="88"/>
      <c r="C82" s="88"/>
      <c r="D82" s="88"/>
      <c r="E82" s="88"/>
    </row>
    <row r="83">
      <c r="A83" s="88"/>
      <c r="B83" s="88"/>
      <c r="C83" s="88"/>
      <c r="D83" s="88"/>
      <c r="E83" s="88"/>
    </row>
    <row r="84">
      <c r="A84" s="88"/>
      <c r="B84" s="88"/>
      <c r="C84" s="88"/>
      <c r="D84" s="88"/>
      <c r="E84" s="88"/>
    </row>
    <row r="85">
      <c r="A85" s="88"/>
      <c r="B85" s="88"/>
      <c r="C85" s="88"/>
      <c r="D85" s="88"/>
      <c r="E85" s="88"/>
    </row>
    <row r="86">
      <c r="A86" s="88"/>
      <c r="B86" s="88"/>
      <c r="C86" s="88"/>
      <c r="D86" s="88"/>
      <c r="E86" s="88"/>
    </row>
    <row r="87">
      <c r="A87" s="88"/>
      <c r="B87" s="88"/>
      <c r="C87" s="88"/>
      <c r="D87" s="88"/>
      <c r="E87" s="88"/>
    </row>
    <row r="88">
      <c r="A88" s="88"/>
      <c r="B88" s="88"/>
      <c r="C88" s="88"/>
      <c r="D88" s="88"/>
      <c r="E88" s="88"/>
    </row>
    <row r="89">
      <c r="A89" s="88"/>
      <c r="B89" s="88"/>
      <c r="C89" s="88"/>
      <c r="D89" s="88"/>
      <c r="E89" s="88"/>
    </row>
    <row r="90">
      <c r="A90" s="88"/>
      <c r="B90" s="88"/>
      <c r="C90" s="88"/>
      <c r="D90" s="88"/>
      <c r="E90" s="88"/>
    </row>
    <row r="91">
      <c r="A91" s="88"/>
      <c r="B91" s="88"/>
      <c r="C91" s="88"/>
      <c r="D91" s="88"/>
      <c r="E91" s="88"/>
    </row>
    <row r="92">
      <c r="A92" s="88"/>
      <c r="B92" s="88"/>
      <c r="C92" s="88"/>
      <c r="D92" s="88"/>
      <c r="E92" s="88"/>
    </row>
    <row r="93">
      <c r="A93" s="88"/>
      <c r="B93" s="88"/>
      <c r="C93" s="88"/>
      <c r="D93" s="88"/>
      <c r="E93" s="88"/>
    </row>
    <row r="94">
      <c r="A94" s="88"/>
      <c r="B94" s="88"/>
      <c r="C94" s="88"/>
      <c r="D94" s="88"/>
      <c r="E94" s="88"/>
    </row>
    <row r="95">
      <c r="A95" s="88"/>
      <c r="B95" s="88"/>
      <c r="C95" s="88"/>
      <c r="D95" s="88"/>
      <c r="E95" s="88"/>
    </row>
    <row r="96">
      <c r="A96" s="88"/>
      <c r="B96" s="88"/>
      <c r="C96" s="88"/>
      <c r="D96" s="88"/>
      <c r="E96" s="88"/>
    </row>
    <row r="97">
      <c r="A97" s="88"/>
      <c r="B97" s="88"/>
      <c r="C97" s="88"/>
      <c r="D97" s="88"/>
      <c r="E97" s="88"/>
    </row>
    <row r="98">
      <c r="A98" s="88"/>
      <c r="B98" s="88"/>
      <c r="C98" s="88"/>
      <c r="D98" s="88"/>
      <c r="E98" s="88"/>
    </row>
    <row r="99">
      <c r="A99" s="88"/>
      <c r="B99" s="88"/>
      <c r="C99" s="88"/>
      <c r="D99" s="88"/>
      <c r="E99" s="88"/>
    </row>
    <row r="100">
      <c r="A100" s="88"/>
      <c r="B100" s="88"/>
      <c r="C100" s="88"/>
      <c r="D100" s="88"/>
      <c r="E100" s="88"/>
    </row>
    <row r="101">
      <c r="A101" s="88"/>
      <c r="B101" s="88"/>
      <c r="C101" s="88"/>
      <c r="D101" s="88"/>
      <c r="E101" s="88"/>
    </row>
    <row r="102">
      <c r="A102" s="88"/>
      <c r="B102" s="88"/>
      <c r="C102" s="88"/>
      <c r="D102" s="88"/>
      <c r="E102" s="88"/>
    </row>
    <row r="103">
      <c r="A103" s="88"/>
      <c r="B103" s="88"/>
      <c r="C103" s="88"/>
      <c r="D103" s="88"/>
      <c r="E103" s="88"/>
    </row>
    <row r="104">
      <c r="A104" s="88"/>
      <c r="B104" s="88"/>
      <c r="C104" s="88"/>
      <c r="D104" s="88"/>
      <c r="E104" s="88"/>
    </row>
    <row r="105">
      <c r="A105" s="88"/>
      <c r="B105" s="88"/>
      <c r="C105" s="88"/>
      <c r="D105" s="88"/>
      <c r="E105" s="88"/>
    </row>
    <row r="106">
      <c r="A106" s="88"/>
      <c r="B106" s="88"/>
      <c r="C106" s="88"/>
      <c r="D106" s="88"/>
      <c r="E106" s="88"/>
    </row>
    <row r="107">
      <c r="A107" s="88"/>
      <c r="B107" s="88"/>
      <c r="C107" s="88"/>
      <c r="D107" s="88"/>
      <c r="E107" s="88"/>
    </row>
    <row r="108">
      <c r="A108" s="88"/>
      <c r="B108" s="88"/>
      <c r="C108" s="88"/>
      <c r="D108" s="88"/>
      <c r="E108" s="88"/>
    </row>
    <row r="109">
      <c r="A109" s="88"/>
      <c r="B109" s="88"/>
      <c r="C109" s="88"/>
      <c r="D109" s="88"/>
      <c r="E109" s="88"/>
    </row>
    <row r="110">
      <c r="A110" s="88"/>
      <c r="B110" s="88"/>
      <c r="C110" s="88"/>
      <c r="D110" s="88"/>
      <c r="E110" s="88"/>
    </row>
    <row r="111">
      <c r="A111" s="88"/>
      <c r="B111" s="88"/>
      <c r="C111" s="88"/>
      <c r="D111" s="88"/>
      <c r="E111" s="88"/>
    </row>
    <row r="112">
      <c r="A112" s="88"/>
      <c r="B112" s="88"/>
      <c r="C112" s="88"/>
      <c r="D112" s="88"/>
      <c r="E112" s="88"/>
    </row>
    <row r="113">
      <c r="A113" s="88"/>
      <c r="B113" s="88"/>
      <c r="C113" s="88"/>
      <c r="D113" s="88"/>
      <c r="E113" s="88"/>
    </row>
    <row r="114">
      <c r="A114" s="88"/>
      <c r="B114" s="88"/>
      <c r="C114" s="88"/>
      <c r="D114" s="88"/>
      <c r="E114" s="88"/>
    </row>
    <row r="115">
      <c r="A115" s="88"/>
      <c r="B115" s="88"/>
      <c r="C115" s="88"/>
      <c r="D115" s="88"/>
      <c r="E115" s="88"/>
    </row>
    <row r="116">
      <c r="A116" s="88"/>
      <c r="B116" s="88"/>
      <c r="C116" s="88"/>
      <c r="D116" s="88"/>
      <c r="E116" s="88"/>
    </row>
    <row r="117">
      <c r="A117" s="88"/>
      <c r="B117" s="88"/>
      <c r="C117" s="88"/>
      <c r="D117" s="88"/>
      <c r="E117" s="88"/>
    </row>
    <row r="118">
      <c r="A118" s="88"/>
      <c r="B118" s="88"/>
      <c r="C118" s="88"/>
      <c r="D118" s="88"/>
      <c r="E118" s="88"/>
    </row>
    <row r="119">
      <c r="A119" s="88"/>
      <c r="B119" s="88"/>
      <c r="C119" s="88"/>
      <c r="D119" s="88"/>
      <c r="E119" s="88"/>
    </row>
    <row r="120">
      <c r="A120" s="88"/>
      <c r="B120" s="88"/>
      <c r="C120" s="88"/>
      <c r="D120" s="88"/>
      <c r="E120" s="88"/>
    </row>
    <row r="121">
      <c r="A121" s="88"/>
      <c r="B121" s="88"/>
      <c r="C121" s="88"/>
      <c r="D121" s="88"/>
      <c r="E121" s="88"/>
    </row>
    <row r="122">
      <c r="A122" s="88"/>
      <c r="B122" s="88"/>
      <c r="C122" s="88"/>
      <c r="D122" s="88"/>
      <c r="E122" s="88"/>
    </row>
    <row r="123">
      <c r="A123" s="88"/>
      <c r="B123" s="88"/>
      <c r="C123" s="88"/>
      <c r="D123" s="88"/>
      <c r="E123" s="88"/>
    </row>
    <row r="124">
      <c r="A124" s="88"/>
      <c r="B124" s="88"/>
      <c r="C124" s="88"/>
      <c r="D124" s="88"/>
      <c r="E124" s="88"/>
    </row>
    <row r="125">
      <c r="A125" s="88"/>
      <c r="B125" s="88"/>
      <c r="C125" s="88"/>
      <c r="D125" s="88"/>
      <c r="E125" s="88"/>
    </row>
    <row r="126">
      <c r="A126" s="88"/>
      <c r="B126" s="88"/>
      <c r="C126" s="88"/>
      <c r="D126" s="88"/>
      <c r="E126" s="88"/>
    </row>
    <row r="127">
      <c r="A127" s="88"/>
      <c r="B127" s="88"/>
      <c r="C127" s="88"/>
      <c r="D127" s="88"/>
      <c r="E127" s="88"/>
    </row>
    <row r="128">
      <c r="A128" s="88"/>
      <c r="B128" s="88"/>
      <c r="C128" s="88"/>
      <c r="D128" s="88"/>
      <c r="E128" s="88"/>
    </row>
    <row r="129">
      <c r="A129" s="88"/>
      <c r="B129" s="88"/>
      <c r="C129" s="88"/>
      <c r="D129" s="88"/>
      <c r="E129" s="88"/>
    </row>
    <row r="130">
      <c r="A130" s="88"/>
      <c r="B130" s="88"/>
      <c r="C130" s="88"/>
      <c r="D130" s="88"/>
      <c r="E130" s="88"/>
    </row>
    <row r="131">
      <c r="A131" s="88"/>
      <c r="B131" s="88"/>
      <c r="C131" s="88"/>
      <c r="D131" s="88"/>
      <c r="E131" s="88"/>
    </row>
    <row r="132">
      <c r="A132" s="88"/>
      <c r="B132" s="88"/>
      <c r="C132" s="88"/>
      <c r="D132" s="88"/>
      <c r="E132" s="88"/>
    </row>
    <row r="133">
      <c r="A133" s="88"/>
      <c r="B133" s="88"/>
      <c r="C133" s="88"/>
      <c r="D133" s="88"/>
      <c r="E133" s="88"/>
    </row>
    <row r="134">
      <c r="A134" s="88"/>
      <c r="B134" s="88"/>
      <c r="C134" s="88"/>
      <c r="D134" s="88"/>
      <c r="E134" s="88"/>
    </row>
    <row r="135">
      <c r="A135" s="88"/>
      <c r="B135" s="88"/>
      <c r="C135" s="88"/>
      <c r="D135" s="88"/>
      <c r="E135" s="88"/>
    </row>
    <row r="136">
      <c r="A136" s="88"/>
      <c r="B136" s="88"/>
      <c r="C136" s="88"/>
      <c r="D136" s="88"/>
      <c r="E136" s="88"/>
    </row>
    <row r="137">
      <c r="A137" s="88"/>
      <c r="B137" s="88"/>
      <c r="C137" s="88"/>
      <c r="D137" s="88"/>
      <c r="E137" s="88"/>
    </row>
    <row r="138">
      <c r="A138" s="88"/>
      <c r="B138" s="88"/>
      <c r="C138" s="88"/>
      <c r="D138" s="88"/>
      <c r="E138" s="88"/>
    </row>
    <row r="139">
      <c r="A139" s="88"/>
      <c r="B139" s="88"/>
      <c r="C139" s="88"/>
      <c r="D139" s="88"/>
      <c r="E139" s="88"/>
    </row>
    <row r="140">
      <c r="A140" s="88"/>
      <c r="B140" s="88"/>
      <c r="C140" s="88"/>
      <c r="D140" s="88"/>
      <c r="E140" s="88"/>
    </row>
    <row r="141">
      <c r="A141" s="88"/>
      <c r="B141" s="88"/>
      <c r="C141" s="88"/>
      <c r="D141" s="88"/>
      <c r="E141" s="88"/>
    </row>
    <row r="142">
      <c r="A142" s="88"/>
      <c r="B142" s="88"/>
      <c r="C142" s="88"/>
      <c r="D142" s="88"/>
      <c r="E142" s="88"/>
    </row>
    <row r="143">
      <c r="A143" s="88"/>
      <c r="B143" s="88"/>
      <c r="C143" s="88"/>
      <c r="D143" s="88"/>
      <c r="E143" s="88"/>
    </row>
    <row r="144">
      <c r="A144" s="88"/>
      <c r="B144" s="88"/>
      <c r="C144" s="88"/>
      <c r="D144" s="88"/>
      <c r="E144" s="88"/>
    </row>
    <row r="145">
      <c r="A145" s="88"/>
      <c r="B145" s="88"/>
      <c r="C145" s="88"/>
      <c r="D145" s="88"/>
      <c r="E145" s="88"/>
    </row>
    <row r="146">
      <c r="A146" s="88"/>
      <c r="B146" s="88"/>
      <c r="C146" s="88"/>
      <c r="D146" s="88"/>
      <c r="E146" s="88"/>
    </row>
    <row r="147">
      <c r="A147" s="88"/>
      <c r="B147" s="88"/>
      <c r="C147" s="88"/>
      <c r="D147" s="88"/>
      <c r="E147" s="88"/>
    </row>
    <row r="148">
      <c r="A148" s="88"/>
      <c r="B148" s="88"/>
      <c r="C148" s="88"/>
      <c r="D148" s="88"/>
      <c r="E148" s="88"/>
    </row>
    <row r="149">
      <c r="A149" s="88"/>
      <c r="B149" s="88"/>
      <c r="C149" s="88"/>
      <c r="D149" s="88"/>
      <c r="E149" s="88"/>
    </row>
    <row r="150">
      <c r="A150" s="88"/>
      <c r="B150" s="88"/>
      <c r="C150" s="88"/>
      <c r="D150" s="88"/>
      <c r="E150" s="88"/>
    </row>
    <row r="151">
      <c r="A151" s="88"/>
      <c r="B151" s="88"/>
      <c r="C151" s="88"/>
      <c r="D151" s="88"/>
      <c r="E151" s="88"/>
    </row>
    <row r="152">
      <c r="A152" s="88"/>
      <c r="B152" s="88"/>
      <c r="C152" s="88"/>
      <c r="D152" s="88"/>
      <c r="E152" s="88"/>
    </row>
    <row r="153">
      <c r="A153" s="88"/>
      <c r="B153" s="88"/>
      <c r="C153" s="88"/>
      <c r="D153" s="88"/>
      <c r="E153" s="88"/>
    </row>
    <row r="154">
      <c r="A154" s="88"/>
      <c r="B154" s="88"/>
      <c r="C154" s="88"/>
      <c r="D154" s="88"/>
      <c r="E154" s="88"/>
    </row>
    <row r="155">
      <c r="A155" s="88"/>
      <c r="B155" s="88"/>
      <c r="C155" s="88"/>
      <c r="D155" s="88"/>
      <c r="E155" s="88"/>
    </row>
    <row r="156">
      <c r="A156" s="88"/>
      <c r="B156" s="88"/>
      <c r="C156" s="88"/>
      <c r="D156" s="88"/>
      <c r="E156" s="88"/>
    </row>
    <row r="157">
      <c r="A157" s="88"/>
      <c r="B157" s="88"/>
      <c r="C157" s="88"/>
      <c r="D157" s="88"/>
      <c r="E157" s="88"/>
    </row>
    <row r="158">
      <c r="A158" s="88"/>
      <c r="B158" s="88"/>
      <c r="C158" s="88"/>
      <c r="D158" s="88"/>
      <c r="E158" s="88"/>
    </row>
    <row r="159">
      <c r="A159" s="88"/>
      <c r="B159" s="88"/>
      <c r="C159" s="88"/>
      <c r="D159" s="88"/>
      <c r="E159" s="88"/>
    </row>
    <row r="160">
      <c r="A160" s="88"/>
      <c r="B160" s="88"/>
      <c r="C160" s="88"/>
      <c r="D160" s="88"/>
      <c r="E160" s="88"/>
    </row>
    <row r="161">
      <c r="A161" s="88"/>
      <c r="B161" s="88"/>
      <c r="C161" s="88"/>
      <c r="D161" s="88"/>
      <c r="E161" s="88"/>
    </row>
    <row r="162">
      <c r="A162" s="88"/>
      <c r="B162" s="88"/>
      <c r="C162" s="88"/>
      <c r="D162" s="88"/>
      <c r="E162" s="88"/>
    </row>
    <row r="163">
      <c r="A163" s="88"/>
      <c r="B163" s="88"/>
      <c r="C163" s="88"/>
      <c r="D163" s="88"/>
      <c r="E163" s="88"/>
    </row>
    <row r="164">
      <c r="A164" s="88"/>
      <c r="B164" s="88"/>
      <c r="C164" s="88"/>
      <c r="D164" s="88"/>
      <c r="E164" s="88"/>
    </row>
    <row r="165">
      <c r="A165" s="88"/>
      <c r="B165" s="88"/>
      <c r="C165" s="88"/>
      <c r="D165" s="88"/>
      <c r="E165" s="88"/>
    </row>
    <row r="166">
      <c r="A166" s="88"/>
      <c r="B166" s="88"/>
      <c r="C166" s="88"/>
      <c r="D166" s="88"/>
      <c r="E166" s="88"/>
    </row>
    <row r="167">
      <c r="A167" s="88"/>
      <c r="B167" s="88"/>
      <c r="C167" s="88"/>
      <c r="D167" s="88"/>
      <c r="E167" s="88"/>
    </row>
    <row r="168">
      <c r="A168" s="88"/>
      <c r="B168" s="88"/>
      <c r="C168" s="88"/>
      <c r="D168" s="88"/>
      <c r="E168" s="88"/>
    </row>
    <row r="169">
      <c r="A169" s="88"/>
      <c r="B169" s="88"/>
      <c r="C169" s="88"/>
      <c r="D169" s="88"/>
      <c r="E169" s="88"/>
    </row>
    <row r="170">
      <c r="A170" s="88"/>
      <c r="B170" s="88"/>
      <c r="C170" s="88"/>
      <c r="D170" s="88"/>
      <c r="E170" s="88"/>
    </row>
    <row r="171">
      <c r="A171" s="88"/>
      <c r="B171" s="88"/>
      <c r="C171" s="88"/>
      <c r="D171" s="88"/>
      <c r="E171" s="88"/>
    </row>
    <row r="172">
      <c r="A172" s="88"/>
      <c r="B172" s="88"/>
      <c r="C172" s="88"/>
      <c r="D172" s="88"/>
      <c r="E172" s="88"/>
    </row>
    <row r="173">
      <c r="A173" s="88"/>
      <c r="B173" s="88"/>
      <c r="C173" s="88"/>
      <c r="D173" s="88"/>
      <c r="E173" s="88"/>
    </row>
    <row r="174">
      <c r="A174" s="88"/>
      <c r="B174" s="88"/>
      <c r="C174" s="88"/>
      <c r="D174" s="88"/>
      <c r="E174" s="88"/>
    </row>
    <row r="175">
      <c r="A175" s="88"/>
      <c r="B175" s="88"/>
      <c r="C175" s="88"/>
      <c r="D175" s="88"/>
      <c r="E175" s="88"/>
    </row>
    <row r="176">
      <c r="A176" s="88"/>
      <c r="B176" s="88"/>
      <c r="C176" s="88"/>
      <c r="D176" s="88"/>
      <c r="E176" s="88"/>
    </row>
    <row r="177">
      <c r="A177" s="88"/>
      <c r="B177" s="88"/>
      <c r="C177" s="88"/>
      <c r="D177" s="88"/>
      <c r="E177" s="88"/>
    </row>
    <row r="178">
      <c r="A178" s="88"/>
      <c r="B178" s="88"/>
      <c r="C178" s="88"/>
      <c r="D178" s="88"/>
      <c r="E178" s="88"/>
    </row>
    <row r="179">
      <c r="A179" s="88"/>
      <c r="B179" s="88"/>
      <c r="C179" s="88"/>
      <c r="D179" s="88"/>
      <c r="E179" s="88"/>
    </row>
    <row r="180">
      <c r="A180" s="88"/>
      <c r="B180" s="88"/>
      <c r="C180" s="88"/>
      <c r="D180" s="88"/>
      <c r="E180" s="88"/>
    </row>
    <row r="181">
      <c r="A181" s="88"/>
      <c r="B181" s="88"/>
      <c r="C181" s="88"/>
      <c r="D181" s="88"/>
      <c r="E181" s="88"/>
    </row>
    <row r="182">
      <c r="A182" s="88"/>
      <c r="B182" s="88"/>
      <c r="C182" s="88"/>
      <c r="D182" s="88"/>
      <c r="E182" s="88"/>
    </row>
    <row r="183">
      <c r="A183" s="88"/>
      <c r="B183" s="88"/>
      <c r="C183" s="88"/>
      <c r="D183" s="88"/>
      <c r="E183" s="88"/>
    </row>
    <row r="184">
      <c r="A184" s="88"/>
      <c r="B184" s="88"/>
      <c r="C184" s="88"/>
      <c r="D184" s="88"/>
      <c r="E184" s="88"/>
    </row>
    <row r="185">
      <c r="A185" s="88"/>
      <c r="B185" s="88"/>
      <c r="C185" s="88"/>
      <c r="D185" s="88"/>
      <c r="E185" s="88"/>
    </row>
    <row r="186">
      <c r="A186" s="88"/>
      <c r="B186" s="88"/>
      <c r="C186" s="88"/>
      <c r="D186" s="88"/>
      <c r="E186" s="88"/>
    </row>
    <row r="187">
      <c r="A187" s="88"/>
      <c r="B187" s="88"/>
      <c r="C187" s="88"/>
      <c r="D187" s="88"/>
      <c r="E187" s="88"/>
    </row>
    <row r="188">
      <c r="A188" s="88"/>
      <c r="B188" s="88"/>
      <c r="C188" s="88"/>
      <c r="D188" s="88"/>
      <c r="E188" s="88"/>
    </row>
    <row r="189">
      <c r="A189" s="88"/>
      <c r="B189" s="88"/>
      <c r="C189" s="88"/>
      <c r="D189" s="88"/>
      <c r="E189" s="88"/>
    </row>
    <row r="190">
      <c r="A190" s="88"/>
      <c r="B190" s="88"/>
      <c r="C190" s="88"/>
      <c r="D190" s="88"/>
      <c r="E190" s="88"/>
    </row>
    <row r="191">
      <c r="A191" s="88"/>
      <c r="B191" s="88"/>
      <c r="C191" s="88"/>
      <c r="D191" s="88"/>
      <c r="E191" s="88"/>
    </row>
    <row r="192">
      <c r="A192" s="88"/>
      <c r="B192" s="88"/>
      <c r="C192" s="88"/>
      <c r="D192" s="88"/>
      <c r="E192" s="88"/>
    </row>
    <row r="193">
      <c r="A193" s="88"/>
      <c r="B193" s="88"/>
      <c r="C193" s="88"/>
      <c r="D193" s="88"/>
      <c r="E193" s="88"/>
    </row>
    <row r="194">
      <c r="A194" s="88"/>
      <c r="B194" s="88"/>
      <c r="C194" s="88"/>
      <c r="D194" s="88"/>
      <c r="E194" s="88"/>
    </row>
    <row r="195">
      <c r="A195" s="88"/>
      <c r="B195" s="88"/>
      <c r="C195" s="88"/>
      <c r="D195" s="88"/>
      <c r="E195" s="88"/>
    </row>
    <row r="196">
      <c r="A196" s="88"/>
      <c r="B196" s="88"/>
      <c r="C196" s="88"/>
      <c r="D196" s="88"/>
      <c r="E196" s="88"/>
    </row>
    <row r="197">
      <c r="A197" s="88"/>
      <c r="B197" s="88"/>
      <c r="C197" s="88"/>
      <c r="D197" s="88"/>
      <c r="E197" s="88"/>
    </row>
    <row r="198">
      <c r="A198" s="88"/>
      <c r="B198" s="88"/>
      <c r="C198" s="88"/>
      <c r="D198" s="88"/>
      <c r="E198" s="88"/>
    </row>
    <row r="199">
      <c r="A199" s="88"/>
      <c r="B199" s="88"/>
      <c r="C199" s="88"/>
      <c r="D199" s="88"/>
      <c r="E199" s="88"/>
    </row>
    <row r="200">
      <c r="A200" s="88"/>
      <c r="B200" s="88"/>
      <c r="C200" s="88"/>
      <c r="D200" s="88"/>
      <c r="E200" s="88"/>
    </row>
    <row r="201">
      <c r="A201" s="88"/>
      <c r="B201" s="88"/>
      <c r="C201" s="88"/>
      <c r="D201" s="88"/>
      <c r="E201" s="88"/>
    </row>
    <row r="202">
      <c r="A202" s="88"/>
      <c r="B202" s="88"/>
      <c r="C202" s="88"/>
      <c r="D202" s="88"/>
      <c r="E202" s="88"/>
    </row>
    <row r="203">
      <c r="A203" s="88"/>
      <c r="B203" s="88"/>
      <c r="C203" s="88"/>
      <c r="D203" s="88"/>
      <c r="E203" s="88"/>
    </row>
    <row r="204">
      <c r="A204" s="88"/>
      <c r="B204" s="88"/>
      <c r="C204" s="88"/>
      <c r="D204" s="88"/>
      <c r="E204" s="88"/>
    </row>
    <row r="205">
      <c r="A205" s="88"/>
      <c r="B205" s="88"/>
      <c r="C205" s="88"/>
      <c r="D205" s="88"/>
      <c r="E205" s="88"/>
    </row>
    <row r="206">
      <c r="A206" s="88"/>
      <c r="B206" s="88"/>
      <c r="C206" s="88"/>
      <c r="D206" s="88"/>
      <c r="E206" s="88"/>
    </row>
    <row r="207">
      <c r="A207" s="88"/>
      <c r="B207" s="88"/>
      <c r="C207" s="88"/>
      <c r="D207" s="88"/>
      <c r="E207" s="88"/>
    </row>
    <row r="208">
      <c r="A208" s="88"/>
      <c r="B208" s="88"/>
      <c r="C208" s="88"/>
      <c r="D208" s="88"/>
      <c r="E208" s="88"/>
    </row>
    <row r="209">
      <c r="A209" s="88"/>
      <c r="B209" s="88"/>
      <c r="C209" s="88"/>
      <c r="D209" s="88"/>
      <c r="E209" s="88"/>
    </row>
    <row r="210">
      <c r="A210" s="88"/>
      <c r="B210" s="88"/>
      <c r="C210" s="88"/>
      <c r="D210" s="88"/>
      <c r="E210" s="88"/>
    </row>
    <row r="211">
      <c r="A211" s="88"/>
      <c r="B211" s="88"/>
      <c r="C211" s="88"/>
      <c r="D211" s="88"/>
      <c r="E211" s="88"/>
    </row>
    <row r="212">
      <c r="A212" s="88"/>
      <c r="B212" s="88"/>
      <c r="C212" s="88"/>
      <c r="D212" s="88"/>
      <c r="E212" s="88"/>
    </row>
    <row r="213">
      <c r="A213" s="88"/>
      <c r="B213" s="88"/>
      <c r="C213" s="88"/>
      <c r="D213" s="88"/>
      <c r="E213" s="88"/>
    </row>
    <row r="214">
      <c r="A214" s="88"/>
      <c r="B214" s="88"/>
      <c r="C214" s="88"/>
      <c r="D214" s="88"/>
      <c r="E214" s="88"/>
    </row>
    <row r="215">
      <c r="A215" s="88"/>
      <c r="B215" s="88"/>
      <c r="C215" s="88"/>
      <c r="D215" s="88"/>
      <c r="E215" s="88"/>
    </row>
    <row r="216">
      <c r="A216" s="88"/>
      <c r="B216" s="88"/>
      <c r="C216" s="88"/>
      <c r="D216" s="88"/>
      <c r="E216" s="88"/>
    </row>
    <row r="217">
      <c r="A217" s="88"/>
      <c r="B217" s="88"/>
      <c r="C217" s="88"/>
      <c r="D217" s="88"/>
      <c r="E217" s="88"/>
    </row>
    <row r="218">
      <c r="A218" s="88"/>
      <c r="B218" s="88"/>
      <c r="C218" s="88"/>
      <c r="D218" s="88"/>
      <c r="E218" s="88"/>
    </row>
    <row r="219">
      <c r="A219" s="88"/>
      <c r="B219" s="88"/>
      <c r="C219" s="88"/>
      <c r="D219" s="88"/>
      <c r="E219" s="88"/>
    </row>
    <row r="220">
      <c r="A220" s="88"/>
      <c r="B220" s="88"/>
      <c r="C220" s="88"/>
      <c r="D220" s="88"/>
      <c r="E220" s="88"/>
    </row>
    <row r="221">
      <c r="A221" s="88"/>
      <c r="B221" s="88"/>
      <c r="C221" s="88"/>
      <c r="D221" s="88"/>
      <c r="E221" s="88"/>
    </row>
    <row r="222">
      <c r="A222" s="88"/>
      <c r="B222" s="88"/>
      <c r="C222" s="88"/>
      <c r="D222" s="88"/>
      <c r="E222" s="88"/>
    </row>
    <row r="223">
      <c r="A223" s="88"/>
      <c r="B223" s="88"/>
      <c r="C223" s="88"/>
      <c r="D223" s="88"/>
      <c r="E223" s="88"/>
    </row>
    <row r="224">
      <c r="A224" s="88"/>
      <c r="B224" s="88"/>
      <c r="C224" s="88"/>
      <c r="D224" s="88"/>
      <c r="E224" s="88"/>
    </row>
    <row r="225">
      <c r="A225" s="88"/>
      <c r="B225" s="88"/>
      <c r="C225" s="88"/>
      <c r="D225" s="88"/>
      <c r="E225" s="88"/>
    </row>
    <row r="226">
      <c r="A226" s="88"/>
      <c r="B226" s="88"/>
      <c r="C226" s="88"/>
      <c r="D226" s="88"/>
      <c r="E226" s="88"/>
    </row>
    <row r="227">
      <c r="A227" s="88"/>
      <c r="B227" s="88"/>
      <c r="C227" s="88"/>
      <c r="D227" s="88"/>
      <c r="E227" s="88"/>
    </row>
    <row r="228">
      <c r="A228" s="88"/>
      <c r="B228" s="88"/>
      <c r="C228" s="88"/>
      <c r="D228" s="88"/>
      <c r="E228" s="88"/>
    </row>
    <row r="229">
      <c r="A229" s="88"/>
      <c r="B229" s="88"/>
      <c r="C229" s="88"/>
      <c r="D229" s="88"/>
      <c r="E229" s="88"/>
    </row>
    <row r="230">
      <c r="A230" s="88"/>
      <c r="B230" s="88"/>
      <c r="C230" s="88"/>
      <c r="D230" s="88"/>
      <c r="E230" s="88"/>
    </row>
    <row r="231">
      <c r="A231" s="88"/>
      <c r="B231" s="88"/>
      <c r="C231" s="88"/>
      <c r="D231" s="88"/>
      <c r="E231" s="88"/>
    </row>
    <row r="232">
      <c r="A232" s="88"/>
      <c r="B232" s="88"/>
      <c r="C232" s="88"/>
      <c r="D232" s="88"/>
      <c r="E232" s="88"/>
    </row>
    <row r="233">
      <c r="A233" s="88"/>
      <c r="B233" s="88"/>
      <c r="C233" s="88"/>
      <c r="D233" s="88"/>
      <c r="E233" s="88"/>
    </row>
    <row r="234">
      <c r="A234" s="88"/>
      <c r="B234" s="88"/>
      <c r="C234" s="88"/>
      <c r="D234" s="88"/>
      <c r="E234" s="88"/>
    </row>
    <row r="235">
      <c r="A235" s="88"/>
      <c r="B235" s="88"/>
      <c r="C235" s="88"/>
      <c r="D235" s="88"/>
      <c r="E235" s="88"/>
    </row>
    <row r="236">
      <c r="A236" s="88"/>
      <c r="B236" s="88"/>
      <c r="C236" s="88"/>
      <c r="D236" s="88"/>
      <c r="E236" s="88"/>
    </row>
    <row r="237">
      <c r="A237" s="88"/>
      <c r="B237" s="88"/>
      <c r="C237" s="88"/>
      <c r="D237" s="88"/>
      <c r="E237" s="88"/>
    </row>
    <row r="238">
      <c r="A238" s="88"/>
      <c r="B238" s="88"/>
      <c r="C238" s="88"/>
      <c r="D238" s="88"/>
      <c r="E238" s="88"/>
    </row>
    <row r="239">
      <c r="A239" s="88"/>
      <c r="B239" s="88"/>
      <c r="C239" s="88"/>
      <c r="D239" s="88"/>
      <c r="E239" s="88"/>
    </row>
    <row r="240">
      <c r="A240" s="88"/>
      <c r="B240" s="88"/>
      <c r="C240" s="88"/>
      <c r="D240" s="88"/>
      <c r="E240" s="88"/>
    </row>
    <row r="241">
      <c r="A241" s="88"/>
      <c r="B241" s="88"/>
      <c r="C241" s="88"/>
      <c r="D241" s="88"/>
      <c r="E241" s="88"/>
    </row>
    <row r="242">
      <c r="A242" s="88"/>
      <c r="B242" s="88"/>
      <c r="C242" s="88"/>
      <c r="D242" s="88"/>
      <c r="E242" s="88"/>
    </row>
    <row r="243">
      <c r="A243" s="88"/>
      <c r="B243" s="88"/>
      <c r="C243" s="88"/>
      <c r="D243" s="88"/>
      <c r="E243" s="88"/>
    </row>
    <row r="244">
      <c r="A244" s="88"/>
      <c r="B244" s="88"/>
      <c r="C244" s="88"/>
      <c r="D244" s="88"/>
      <c r="E244" s="88"/>
    </row>
    <row r="245">
      <c r="A245" s="88"/>
      <c r="B245" s="88"/>
      <c r="C245" s="88"/>
      <c r="D245" s="88"/>
      <c r="E245" s="88"/>
    </row>
    <row r="246">
      <c r="A246" s="88"/>
      <c r="B246" s="88"/>
      <c r="C246" s="88"/>
      <c r="D246" s="88"/>
      <c r="E246" s="88"/>
    </row>
    <row r="247">
      <c r="A247" s="88"/>
      <c r="B247" s="88"/>
      <c r="C247" s="88"/>
      <c r="D247" s="88"/>
      <c r="E247" s="88"/>
    </row>
    <row r="248">
      <c r="A248" s="88"/>
      <c r="B248" s="88"/>
      <c r="C248" s="88"/>
      <c r="D248" s="88"/>
      <c r="E248" s="88"/>
    </row>
    <row r="249">
      <c r="A249" s="88"/>
      <c r="B249" s="88"/>
      <c r="C249" s="88"/>
      <c r="D249" s="88"/>
      <c r="E249" s="88"/>
    </row>
    <row r="250">
      <c r="A250" s="88"/>
      <c r="B250" s="88"/>
      <c r="C250" s="88"/>
      <c r="D250" s="88"/>
      <c r="E250" s="88"/>
    </row>
    <row r="251">
      <c r="A251" s="88"/>
      <c r="B251" s="88"/>
      <c r="C251" s="88"/>
      <c r="D251" s="88"/>
      <c r="E251" s="88"/>
    </row>
    <row r="252">
      <c r="A252" s="88"/>
      <c r="B252" s="88"/>
      <c r="C252" s="88"/>
      <c r="D252" s="88"/>
      <c r="E252" s="88"/>
    </row>
    <row r="253">
      <c r="A253" s="88"/>
      <c r="B253" s="88"/>
      <c r="C253" s="88"/>
      <c r="D253" s="88"/>
      <c r="E253" s="88"/>
    </row>
    <row r="254">
      <c r="A254" s="88"/>
      <c r="B254" s="88"/>
      <c r="C254" s="88"/>
      <c r="D254" s="88"/>
      <c r="E254" s="88"/>
    </row>
    <row r="255">
      <c r="A255" s="88"/>
      <c r="B255" s="88"/>
      <c r="C255" s="88"/>
      <c r="D255" s="88"/>
      <c r="E255" s="88"/>
    </row>
    <row r="256">
      <c r="A256" s="88"/>
      <c r="B256" s="88"/>
      <c r="C256" s="88"/>
      <c r="D256" s="88"/>
      <c r="E256" s="88"/>
    </row>
    <row r="257">
      <c r="A257" s="88"/>
      <c r="B257" s="88"/>
      <c r="C257" s="88"/>
      <c r="D257" s="88"/>
      <c r="E257" s="88"/>
    </row>
    <row r="258">
      <c r="A258" s="88"/>
      <c r="B258" s="88"/>
      <c r="C258" s="88"/>
      <c r="D258" s="88"/>
      <c r="E258" s="88"/>
    </row>
    <row r="259">
      <c r="A259" s="88"/>
      <c r="B259" s="88"/>
      <c r="C259" s="88"/>
      <c r="D259" s="88"/>
      <c r="E259" s="88"/>
    </row>
    <row r="260">
      <c r="A260" s="88"/>
      <c r="B260" s="88"/>
      <c r="C260" s="88"/>
      <c r="D260" s="88"/>
      <c r="E260" s="88"/>
    </row>
    <row r="261">
      <c r="A261" s="88"/>
      <c r="B261" s="88"/>
      <c r="C261" s="88"/>
      <c r="D261" s="88"/>
      <c r="E261" s="88"/>
    </row>
    <row r="262">
      <c r="A262" s="88"/>
      <c r="B262" s="88"/>
      <c r="C262" s="88"/>
      <c r="D262" s="88"/>
      <c r="E262" s="88"/>
    </row>
    <row r="263">
      <c r="A263" s="88"/>
      <c r="B263" s="88"/>
      <c r="C263" s="88"/>
      <c r="D263" s="88"/>
      <c r="E263" s="88"/>
    </row>
    <row r="264">
      <c r="A264" s="88"/>
      <c r="B264" s="88"/>
      <c r="C264" s="88"/>
      <c r="D264" s="88"/>
      <c r="E264" s="88"/>
    </row>
    <row r="265">
      <c r="A265" s="88"/>
      <c r="B265" s="88"/>
      <c r="C265" s="88"/>
      <c r="D265" s="88"/>
      <c r="E265" s="88"/>
    </row>
    <row r="266">
      <c r="A266" s="88"/>
      <c r="B266" s="88"/>
      <c r="C266" s="88"/>
      <c r="D266" s="88"/>
      <c r="E266" s="88"/>
    </row>
    <row r="267">
      <c r="A267" s="88"/>
      <c r="B267" s="88"/>
      <c r="C267" s="88"/>
      <c r="D267" s="88"/>
      <c r="E267" s="88"/>
    </row>
    <row r="268">
      <c r="A268" s="88"/>
      <c r="B268" s="88"/>
      <c r="C268" s="88"/>
      <c r="D268" s="88"/>
      <c r="E268" s="88"/>
    </row>
    <row r="269">
      <c r="A269" s="88"/>
      <c r="B269" s="88"/>
      <c r="C269" s="88"/>
      <c r="D269" s="88"/>
      <c r="E269" s="88"/>
    </row>
    <row r="270">
      <c r="A270" s="88"/>
      <c r="B270" s="88"/>
      <c r="C270" s="88"/>
      <c r="D270" s="88"/>
      <c r="E270" s="88"/>
    </row>
    <row r="271">
      <c r="A271" s="88"/>
      <c r="B271" s="88"/>
      <c r="C271" s="88"/>
      <c r="D271" s="88"/>
      <c r="E271" s="88"/>
    </row>
    <row r="272">
      <c r="A272" s="88"/>
      <c r="B272" s="88"/>
      <c r="C272" s="88"/>
      <c r="D272" s="88"/>
      <c r="E272" s="88"/>
    </row>
    <row r="273">
      <c r="A273" s="88"/>
      <c r="B273" s="88"/>
      <c r="C273" s="88"/>
      <c r="D273" s="88"/>
      <c r="E273" s="88"/>
    </row>
    <row r="274">
      <c r="A274" s="88"/>
      <c r="B274" s="88"/>
      <c r="C274" s="88"/>
      <c r="D274" s="88"/>
      <c r="E274" s="88"/>
    </row>
    <row r="275">
      <c r="A275" s="88"/>
      <c r="B275" s="88"/>
      <c r="C275" s="88"/>
      <c r="D275" s="88"/>
      <c r="E275" s="88"/>
    </row>
    <row r="276">
      <c r="A276" s="88"/>
      <c r="B276" s="88"/>
      <c r="C276" s="88"/>
      <c r="D276" s="88"/>
      <c r="E276" s="88"/>
    </row>
    <row r="277">
      <c r="A277" s="88"/>
      <c r="B277" s="88"/>
      <c r="C277" s="88"/>
      <c r="D277" s="88"/>
      <c r="E277" s="88"/>
    </row>
    <row r="278">
      <c r="A278" s="88"/>
      <c r="B278" s="88"/>
      <c r="C278" s="88"/>
      <c r="D278" s="88"/>
      <c r="E278" s="88"/>
    </row>
    <row r="279">
      <c r="A279" s="88"/>
      <c r="B279" s="88"/>
      <c r="C279" s="88"/>
      <c r="D279" s="88"/>
      <c r="E279" s="88"/>
    </row>
    <row r="280">
      <c r="A280" s="88"/>
      <c r="B280" s="88"/>
      <c r="C280" s="88"/>
      <c r="D280" s="88"/>
      <c r="E280" s="88"/>
    </row>
    <row r="281">
      <c r="A281" s="88"/>
      <c r="B281" s="88"/>
      <c r="C281" s="88"/>
      <c r="D281" s="88"/>
      <c r="E281" s="88"/>
    </row>
    <row r="282">
      <c r="A282" s="88"/>
      <c r="B282" s="88"/>
      <c r="C282" s="88"/>
      <c r="D282" s="88"/>
      <c r="E282" s="88"/>
    </row>
    <row r="283">
      <c r="A283" s="88"/>
      <c r="B283" s="88"/>
      <c r="C283" s="88"/>
      <c r="D283" s="88"/>
      <c r="E283" s="88"/>
    </row>
    <row r="284">
      <c r="A284" s="88"/>
      <c r="B284" s="88"/>
      <c r="C284" s="88"/>
      <c r="D284" s="88"/>
      <c r="E284" s="88"/>
    </row>
    <row r="285">
      <c r="A285" s="88"/>
      <c r="B285" s="88"/>
      <c r="C285" s="88"/>
      <c r="D285" s="88"/>
      <c r="E285" s="88"/>
    </row>
    <row r="286">
      <c r="A286" s="88"/>
      <c r="B286" s="88"/>
      <c r="C286" s="88"/>
      <c r="D286" s="88"/>
      <c r="E286" s="88"/>
    </row>
    <row r="287">
      <c r="A287" s="88"/>
      <c r="B287" s="88"/>
      <c r="C287" s="88"/>
      <c r="D287" s="88"/>
      <c r="E287" s="88"/>
    </row>
    <row r="288">
      <c r="A288" s="88"/>
      <c r="B288" s="88"/>
      <c r="C288" s="88"/>
      <c r="D288" s="88"/>
      <c r="E288" s="88"/>
    </row>
    <row r="289">
      <c r="A289" s="88"/>
      <c r="B289" s="88"/>
      <c r="C289" s="88"/>
      <c r="D289" s="88"/>
      <c r="E289" s="88"/>
    </row>
    <row r="290">
      <c r="A290" s="88"/>
      <c r="B290" s="88"/>
      <c r="C290" s="88"/>
      <c r="D290" s="88"/>
      <c r="E290" s="88"/>
    </row>
    <row r="291">
      <c r="A291" s="88"/>
      <c r="B291" s="88"/>
      <c r="C291" s="88"/>
      <c r="D291" s="88"/>
      <c r="E291" s="88"/>
    </row>
    <row r="292">
      <c r="A292" s="88"/>
      <c r="B292" s="88"/>
      <c r="C292" s="88"/>
      <c r="D292" s="88"/>
      <c r="E292" s="88"/>
    </row>
    <row r="293">
      <c r="A293" s="88"/>
      <c r="B293" s="88"/>
      <c r="C293" s="88"/>
      <c r="D293" s="88"/>
      <c r="E293" s="88"/>
    </row>
    <row r="294">
      <c r="A294" s="88"/>
      <c r="B294" s="88"/>
      <c r="C294" s="88"/>
      <c r="D294" s="88"/>
      <c r="E294" s="88"/>
    </row>
    <row r="295">
      <c r="A295" s="88"/>
      <c r="B295" s="88"/>
      <c r="C295" s="88"/>
      <c r="D295" s="88"/>
      <c r="E295" s="88"/>
    </row>
    <row r="296">
      <c r="A296" s="88"/>
      <c r="B296" s="88"/>
      <c r="C296" s="88"/>
      <c r="D296" s="88"/>
      <c r="E296" s="88"/>
    </row>
    <row r="297">
      <c r="A297" s="88"/>
      <c r="B297" s="88"/>
      <c r="C297" s="88"/>
      <c r="D297" s="88"/>
      <c r="E297" s="88"/>
    </row>
    <row r="298">
      <c r="A298" s="88"/>
      <c r="B298" s="88"/>
      <c r="C298" s="88"/>
      <c r="D298" s="88"/>
      <c r="E298" s="88"/>
    </row>
    <row r="299">
      <c r="A299" s="88"/>
      <c r="B299" s="88"/>
      <c r="C299" s="88"/>
      <c r="D299" s="88"/>
      <c r="E299" s="88"/>
    </row>
    <row r="300">
      <c r="A300" s="88"/>
      <c r="B300" s="88"/>
      <c r="C300" s="88"/>
      <c r="D300" s="88"/>
      <c r="E300" s="88"/>
    </row>
    <row r="301">
      <c r="A301" s="88"/>
      <c r="B301" s="88"/>
      <c r="C301" s="88"/>
      <c r="D301" s="88"/>
      <c r="E301" s="88"/>
    </row>
    <row r="302">
      <c r="A302" s="88"/>
      <c r="B302" s="88"/>
      <c r="C302" s="88"/>
      <c r="D302" s="88"/>
      <c r="E302" s="88"/>
    </row>
    <row r="303">
      <c r="A303" s="88"/>
      <c r="B303" s="88"/>
      <c r="C303" s="88"/>
      <c r="D303" s="88"/>
      <c r="E303" s="88"/>
    </row>
    <row r="304">
      <c r="A304" s="88"/>
      <c r="B304" s="88"/>
      <c r="C304" s="88"/>
      <c r="D304" s="88"/>
      <c r="E304" s="88"/>
    </row>
    <row r="305">
      <c r="A305" s="88"/>
      <c r="B305" s="88"/>
      <c r="C305" s="88"/>
      <c r="D305" s="88"/>
      <c r="E305" s="88"/>
    </row>
    <row r="306">
      <c r="A306" s="88"/>
      <c r="B306" s="88"/>
      <c r="C306" s="88"/>
      <c r="D306" s="88"/>
      <c r="E306" s="88"/>
    </row>
    <row r="307">
      <c r="A307" s="88"/>
      <c r="B307" s="88"/>
      <c r="C307" s="88"/>
      <c r="D307" s="88"/>
      <c r="E307" s="88"/>
    </row>
    <row r="308">
      <c r="A308" s="88"/>
      <c r="B308" s="88"/>
      <c r="C308" s="88"/>
      <c r="D308" s="88"/>
      <c r="E308" s="88"/>
    </row>
    <row r="309">
      <c r="A309" s="88"/>
      <c r="B309" s="88"/>
      <c r="C309" s="88"/>
      <c r="D309" s="88"/>
      <c r="E309" s="88"/>
    </row>
    <row r="310">
      <c r="A310" s="88"/>
      <c r="B310" s="88"/>
      <c r="C310" s="88"/>
      <c r="D310" s="88"/>
      <c r="E310" s="88"/>
    </row>
    <row r="311">
      <c r="A311" s="88"/>
      <c r="B311" s="88"/>
      <c r="C311" s="88"/>
      <c r="D311" s="88"/>
      <c r="E311" s="88"/>
    </row>
    <row r="312">
      <c r="A312" s="88"/>
      <c r="B312" s="88"/>
      <c r="C312" s="88"/>
      <c r="D312" s="88"/>
      <c r="E312" s="88"/>
    </row>
    <row r="313">
      <c r="A313" s="88"/>
      <c r="B313" s="88"/>
      <c r="C313" s="88"/>
      <c r="D313" s="88"/>
      <c r="E313" s="88"/>
    </row>
    <row r="314">
      <c r="A314" s="88"/>
      <c r="B314" s="88"/>
      <c r="C314" s="88"/>
      <c r="D314" s="88"/>
      <c r="E314" s="88"/>
    </row>
    <row r="315">
      <c r="A315" s="88"/>
      <c r="B315" s="88"/>
      <c r="C315" s="88"/>
      <c r="D315" s="88"/>
      <c r="E315" s="88"/>
    </row>
    <row r="316">
      <c r="A316" s="88"/>
      <c r="B316" s="88"/>
      <c r="C316" s="88"/>
      <c r="D316" s="88"/>
      <c r="E316" s="88"/>
    </row>
    <row r="317">
      <c r="A317" s="88"/>
      <c r="B317" s="88"/>
      <c r="C317" s="88"/>
      <c r="D317" s="88"/>
      <c r="E317" s="88"/>
    </row>
    <row r="318">
      <c r="A318" s="88"/>
      <c r="B318" s="88"/>
      <c r="C318" s="88"/>
      <c r="D318" s="88"/>
      <c r="E318" s="88"/>
    </row>
    <row r="319">
      <c r="A319" s="88"/>
      <c r="B319" s="88"/>
      <c r="C319" s="88"/>
      <c r="D319" s="88"/>
      <c r="E319" s="88"/>
    </row>
    <row r="320">
      <c r="A320" s="88"/>
      <c r="B320" s="88"/>
      <c r="C320" s="88"/>
      <c r="D320" s="88"/>
      <c r="E320" s="88"/>
    </row>
    <row r="321">
      <c r="A321" s="88"/>
      <c r="B321" s="88"/>
      <c r="C321" s="88"/>
      <c r="D321" s="88"/>
      <c r="E321" s="88"/>
    </row>
    <row r="322">
      <c r="A322" s="88"/>
      <c r="B322" s="88"/>
      <c r="C322" s="88"/>
      <c r="D322" s="88"/>
      <c r="E322" s="88"/>
    </row>
    <row r="323">
      <c r="A323" s="88"/>
      <c r="B323" s="88"/>
      <c r="C323" s="88"/>
      <c r="D323" s="88"/>
      <c r="E323" s="88"/>
    </row>
    <row r="324">
      <c r="A324" s="88"/>
      <c r="B324" s="88"/>
      <c r="C324" s="88"/>
      <c r="D324" s="88"/>
      <c r="E324" s="88"/>
    </row>
    <row r="325">
      <c r="A325" s="88"/>
      <c r="B325" s="88"/>
      <c r="C325" s="88"/>
      <c r="D325" s="88"/>
      <c r="E325" s="88"/>
    </row>
    <row r="326">
      <c r="A326" s="88"/>
      <c r="B326" s="88"/>
      <c r="C326" s="88"/>
      <c r="D326" s="88"/>
      <c r="E326" s="88"/>
    </row>
    <row r="327">
      <c r="A327" s="88"/>
      <c r="B327" s="88"/>
      <c r="C327" s="88"/>
      <c r="D327" s="88"/>
      <c r="E327" s="88"/>
    </row>
    <row r="328">
      <c r="A328" s="88"/>
      <c r="B328" s="88"/>
      <c r="C328" s="88"/>
      <c r="D328" s="88"/>
      <c r="E328" s="88"/>
    </row>
    <row r="329">
      <c r="A329" s="88"/>
      <c r="B329" s="88"/>
      <c r="C329" s="88"/>
      <c r="D329" s="88"/>
      <c r="E329" s="88"/>
    </row>
    <row r="330">
      <c r="A330" s="88"/>
      <c r="B330" s="88"/>
      <c r="C330" s="88"/>
      <c r="D330" s="88"/>
      <c r="E330" s="88"/>
    </row>
    <row r="331">
      <c r="A331" s="88"/>
      <c r="B331" s="88"/>
      <c r="C331" s="88"/>
      <c r="D331" s="88"/>
      <c r="E331" s="88"/>
    </row>
    <row r="332">
      <c r="A332" s="88"/>
      <c r="B332" s="88"/>
      <c r="C332" s="88"/>
      <c r="D332" s="88"/>
      <c r="E332" s="88"/>
    </row>
    <row r="333">
      <c r="A333" s="88"/>
      <c r="B333" s="88"/>
      <c r="C333" s="88"/>
      <c r="D333" s="88"/>
      <c r="E333" s="88"/>
    </row>
    <row r="334">
      <c r="A334" s="88"/>
      <c r="B334" s="88"/>
      <c r="C334" s="88"/>
      <c r="D334" s="88"/>
      <c r="E334" s="88"/>
    </row>
    <row r="335">
      <c r="A335" s="88"/>
      <c r="B335" s="88"/>
      <c r="C335" s="88"/>
      <c r="D335" s="88"/>
      <c r="E335" s="88"/>
    </row>
    <row r="336">
      <c r="A336" s="88"/>
      <c r="B336" s="88"/>
      <c r="C336" s="88"/>
      <c r="D336" s="88"/>
      <c r="E336" s="88"/>
    </row>
    <row r="337">
      <c r="A337" s="88"/>
      <c r="B337" s="88"/>
      <c r="C337" s="88"/>
      <c r="D337" s="88"/>
      <c r="E337" s="88"/>
    </row>
    <row r="338">
      <c r="A338" s="88"/>
      <c r="B338" s="88"/>
      <c r="C338" s="88"/>
      <c r="D338" s="88"/>
      <c r="E338" s="88"/>
    </row>
    <row r="339">
      <c r="A339" s="88"/>
      <c r="B339" s="88"/>
      <c r="C339" s="88"/>
      <c r="D339" s="88"/>
      <c r="E339" s="88"/>
    </row>
    <row r="340">
      <c r="A340" s="88"/>
      <c r="B340" s="88"/>
      <c r="C340" s="88"/>
      <c r="D340" s="88"/>
      <c r="E340" s="88"/>
    </row>
    <row r="341">
      <c r="A341" s="88"/>
      <c r="B341" s="88"/>
      <c r="C341" s="88"/>
      <c r="D341" s="88"/>
      <c r="E341" s="88"/>
    </row>
    <row r="342">
      <c r="A342" s="88"/>
      <c r="B342" s="88"/>
      <c r="C342" s="88"/>
      <c r="D342" s="88"/>
      <c r="E342" s="88"/>
    </row>
    <row r="343">
      <c r="A343" s="88"/>
      <c r="B343" s="88"/>
      <c r="C343" s="88"/>
      <c r="D343" s="88"/>
      <c r="E343" s="88"/>
    </row>
    <row r="344">
      <c r="A344" s="88"/>
      <c r="B344" s="88"/>
      <c r="C344" s="88"/>
      <c r="D344" s="88"/>
      <c r="E344" s="88"/>
    </row>
    <row r="345">
      <c r="A345" s="88"/>
      <c r="B345" s="88"/>
      <c r="C345" s="88"/>
      <c r="D345" s="88"/>
      <c r="E345" s="88"/>
    </row>
    <row r="346">
      <c r="A346" s="88"/>
      <c r="B346" s="88"/>
      <c r="C346" s="88"/>
      <c r="D346" s="88"/>
      <c r="E346" s="88"/>
    </row>
    <row r="347">
      <c r="A347" s="88"/>
      <c r="B347" s="88"/>
      <c r="C347" s="88"/>
      <c r="D347" s="88"/>
      <c r="E347" s="88"/>
    </row>
    <row r="348">
      <c r="A348" s="88"/>
      <c r="B348" s="88"/>
      <c r="C348" s="88"/>
      <c r="D348" s="88"/>
      <c r="E348" s="88"/>
    </row>
    <row r="349">
      <c r="A349" s="88"/>
      <c r="B349" s="88"/>
      <c r="C349" s="88"/>
      <c r="D349" s="88"/>
      <c r="E349" s="88"/>
    </row>
    <row r="350">
      <c r="A350" s="88"/>
      <c r="B350" s="88"/>
      <c r="C350" s="88"/>
      <c r="D350" s="88"/>
      <c r="E350" s="88"/>
    </row>
    <row r="351">
      <c r="A351" s="88"/>
      <c r="B351" s="88"/>
      <c r="C351" s="88"/>
      <c r="D351" s="88"/>
      <c r="E351" s="88"/>
    </row>
    <row r="352">
      <c r="A352" s="88"/>
      <c r="B352" s="88"/>
      <c r="C352" s="88"/>
      <c r="D352" s="88"/>
      <c r="E352" s="88"/>
    </row>
    <row r="353">
      <c r="A353" s="88"/>
      <c r="B353" s="88"/>
      <c r="C353" s="88"/>
      <c r="D353" s="88"/>
      <c r="E353" s="88"/>
    </row>
    <row r="354">
      <c r="A354" s="88"/>
      <c r="B354" s="88"/>
      <c r="C354" s="88"/>
      <c r="D354" s="88"/>
      <c r="E354" s="88"/>
    </row>
    <row r="355">
      <c r="A355" s="88"/>
      <c r="B355" s="88"/>
      <c r="C355" s="88"/>
      <c r="D355" s="88"/>
      <c r="E355" s="88"/>
    </row>
    <row r="356">
      <c r="A356" s="88"/>
      <c r="B356" s="88"/>
      <c r="C356" s="88"/>
      <c r="D356" s="88"/>
      <c r="E356" s="88"/>
    </row>
    <row r="357">
      <c r="A357" s="88"/>
      <c r="B357" s="88"/>
      <c r="C357" s="88"/>
      <c r="D357" s="88"/>
      <c r="E357" s="88"/>
    </row>
    <row r="358">
      <c r="A358" s="88"/>
      <c r="B358" s="88"/>
      <c r="C358" s="88"/>
      <c r="D358" s="88"/>
      <c r="E358" s="88"/>
    </row>
    <row r="359">
      <c r="A359" s="88"/>
      <c r="B359" s="88"/>
      <c r="C359" s="88"/>
      <c r="D359" s="88"/>
      <c r="E359" s="88"/>
    </row>
    <row r="360">
      <c r="A360" s="88"/>
      <c r="B360" s="88"/>
      <c r="C360" s="88"/>
      <c r="D360" s="88"/>
      <c r="E360" s="88"/>
    </row>
    <row r="361">
      <c r="A361" s="88"/>
      <c r="B361" s="88"/>
      <c r="C361" s="88"/>
      <c r="D361" s="88"/>
      <c r="E361" s="88"/>
    </row>
    <row r="362">
      <c r="A362" s="88"/>
      <c r="B362" s="88"/>
      <c r="C362" s="88"/>
      <c r="D362" s="88"/>
      <c r="E362" s="88"/>
    </row>
    <row r="363">
      <c r="A363" s="88"/>
      <c r="B363" s="88"/>
      <c r="C363" s="88"/>
      <c r="D363" s="88"/>
      <c r="E363" s="88"/>
    </row>
    <row r="364">
      <c r="A364" s="88"/>
      <c r="B364" s="88"/>
      <c r="C364" s="88"/>
      <c r="D364" s="88"/>
      <c r="E364" s="88"/>
    </row>
    <row r="365">
      <c r="A365" s="88"/>
      <c r="B365" s="88"/>
      <c r="C365" s="88"/>
      <c r="D365" s="88"/>
      <c r="E365" s="88"/>
    </row>
    <row r="366">
      <c r="A366" s="88"/>
      <c r="B366" s="88"/>
      <c r="C366" s="88"/>
      <c r="D366" s="88"/>
      <c r="E366" s="88"/>
    </row>
    <row r="367">
      <c r="A367" s="88"/>
      <c r="B367" s="88"/>
      <c r="C367" s="88"/>
      <c r="D367" s="88"/>
      <c r="E367" s="88"/>
    </row>
    <row r="368">
      <c r="A368" s="88"/>
      <c r="B368" s="88"/>
      <c r="C368" s="88"/>
      <c r="D368" s="88"/>
      <c r="E368" s="88"/>
    </row>
    <row r="369">
      <c r="A369" s="88"/>
      <c r="B369" s="88"/>
      <c r="C369" s="88"/>
      <c r="D369" s="88"/>
      <c r="E369" s="88"/>
    </row>
    <row r="370">
      <c r="A370" s="88"/>
      <c r="B370" s="88"/>
      <c r="C370" s="88"/>
      <c r="D370" s="88"/>
      <c r="E370" s="88"/>
    </row>
    <row r="371">
      <c r="A371" s="88"/>
      <c r="B371" s="88"/>
      <c r="C371" s="88"/>
      <c r="D371" s="88"/>
      <c r="E371" s="88"/>
    </row>
    <row r="372">
      <c r="A372" s="88"/>
      <c r="B372" s="88"/>
      <c r="C372" s="88"/>
      <c r="D372" s="88"/>
      <c r="E372" s="88"/>
    </row>
    <row r="373">
      <c r="A373" s="88"/>
      <c r="B373" s="88"/>
      <c r="C373" s="88"/>
      <c r="D373" s="88"/>
      <c r="E373" s="88"/>
    </row>
    <row r="374">
      <c r="A374" s="88"/>
      <c r="B374" s="88"/>
      <c r="C374" s="88"/>
      <c r="D374" s="88"/>
      <c r="E374" s="88"/>
    </row>
    <row r="375">
      <c r="A375" s="88"/>
      <c r="B375" s="88"/>
      <c r="C375" s="88"/>
      <c r="D375" s="88"/>
      <c r="E375" s="88"/>
    </row>
    <row r="376">
      <c r="A376" s="88"/>
      <c r="B376" s="88"/>
      <c r="C376" s="88"/>
      <c r="D376" s="88"/>
      <c r="E376" s="88"/>
    </row>
    <row r="377">
      <c r="A377" s="88"/>
      <c r="B377" s="88"/>
      <c r="C377" s="88"/>
      <c r="D377" s="88"/>
      <c r="E377" s="88"/>
    </row>
    <row r="378">
      <c r="A378" s="88"/>
      <c r="B378" s="88"/>
      <c r="C378" s="88"/>
      <c r="D378" s="88"/>
      <c r="E378" s="88"/>
    </row>
    <row r="379">
      <c r="A379" s="88"/>
      <c r="B379" s="88"/>
      <c r="C379" s="88"/>
      <c r="D379" s="88"/>
      <c r="E379" s="88"/>
    </row>
    <row r="380">
      <c r="A380" s="88"/>
      <c r="B380" s="88"/>
      <c r="C380" s="88"/>
      <c r="D380" s="88"/>
      <c r="E380" s="88"/>
    </row>
    <row r="381">
      <c r="A381" s="88"/>
      <c r="B381" s="88"/>
      <c r="C381" s="88"/>
      <c r="D381" s="88"/>
      <c r="E381" s="88"/>
    </row>
    <row r="382">
      <c r="A382" s="88"/>
      <c r="B382" s="88"/>
      <c r="C382" s="88"/>
      <c r="D382" s="88"/>
      <c r="E382" s="88"/>
    </row>
    <row r="383">
      <c r="A383" s="88"/>
      <c r="B383" s="88"/>
      <c r="C383" s="88"/>
      <c r="D383" s="88"/>
      <c r="E383" s="88"/>
    </row>
    <row r="384">
      <c r="A384" s="88"/>
      <c r="B384" s="88"/>
      <c r="C384" s="88"/>
      <c r="D384" s="88"/>
      <c r="E384" s="88"/>
    </row>
    <row r="385">
      <c r="A385" s="88"/>
      <c r="B385" s="88"/>
      <c r="C385" s="88"/>
      <c r="D385" s="88"/>
      <c r="E385" s="88"/>
    </row>
    <row r="386">
      <c r="A386" s="88"/>
      <c r="B386" s="88"/>
      <c r="C386" s="88"/>
      <c r="D386" s="88"/>
      <c r="E386" s="88"/>
    </row>
    <row r="387">
      <c r="A387" s="88"/>
      <c r="B387" s="88"/>
      <c r="C387" s="88"/>
      <c r="D387" s="88"/>
      <c r="E387" s="88"/>
    </row>
    <row r="388">
      <c r="A388" s="88"/>
      <c r="B388" s="88"/>
      <c r="C388" s="88"/>
      <c r="D388" s="88"/>
      <c r="E388" s="88"/>
    </row>
    <row r="389">
      <c r="A389" s="88"/>
      <c r="B389" s="88"/>
      <c r="C389" s="88"/>
      <c r="D389" s="88"/>
      <c r="E389" s="88"/>
    </row>
    <row r="390">
      <c r="A390" s="88"/>
      <c r="B390" s="88"/>
      <c r="C390" s="88"/>
      <c r="D390" s="88"/>
      <c r="E390" s="88"/>
    </row>
    <row r="391">
      <c r="A391" s="88"/>
      <c r="B391" s="88"/>
      <c r="C391" s="88"/>
      <c r="D391" s="88"/>
      <c r="E391" s="88"/>
    </row>
    <row r="392">
      <c r="A392" s="88"/>
      <c r="B392" s="88"/>
      <c r="C392" s="88"/>
      <c r="D392" s="88"/>
      <c r="E392" s="88"/>
    </row>
    <row r="393">
      <c r="A393" s="88"/>
      <c r="B393" s="88"/>
      <c r="C393" s="88"/>
      <c r="D393" s="88"/>
      <c r="E393" s="88"/>
    </row>
    <row r="394">
      <c r="A394" s="88"/>
      <c r="B394" s="88"/>
      <c r="C394" s="88"/>
      <c r="D394" s="88"/>
      <c r="E394" s="88"/>
    </row>
    <row r="395">
      <c r="A395" s="88"/>
      <c r="B395" s="88"/>
      <c r="C395" s="88"/>
      <c r="D395" s="88"/>
      <c r="E395" s="88"/>
    </row>
    <row r="396">
      <c r="A396" s="88"/>
      <c r="B396" s="88"/>
      <c r="C396" s="88"/>
      <c r="D396" s="88"/>
      <c r="E396" s="88"/>
    </row>
    <row r="397">
      <c r="A397" s="88"/>
      <c r="B397" s="88"/>
      <c r="C397" s="88"/>
      <c r="D397" s="88"/>
      <c r="E397" s="88"/>
    </row>
    <row r="398">
      <c r="A398" s="88"/>
      <c r="B398" s="88"/>
      <c r="C398" s="88"/>
      <c r="D398" s="88"/>
      <c r="E398" s="88"/>
    </row>
    <row r="399">
      <c r="A399" s="88"/>
      <c r="B399" s="88"/>
      <c r="C399" s="88"/>
      <c r="D399" s="88"/>
      <c r="E399" s="88"/>
    </row>
    <row r="400">
      <c r="A400" s="88"/>
      <c r="B400" s="88"/>
      <c r="C400" s="88"/>
      <c r="D400" s="88"/>
      <c r="E400" s="88"/>
    </row>
    <row r="401">
      <c r="A401" s="88"/>
      <c r="B401" s="88"/>
      <c r="C401" s="88"/>
      <c r="D401" s="88"/>
      <c r="E401" s="88"/>
    </row>
    <row r="402">
      <c r="A402" s="88"/>
      <c r="B402" s="88"/>
      <c r="C402" s="88"/>
      <c r="D402" s="88"/>
      <c r="E402" s="88"/>
    </row>
    <row r="403">
      <c r="A403" s="88"/>
      <c r="B403" s="88"/>
      <c r="C403" s="88"/>
      <c r="D403" s="88"/>
      <c r="E403" s="88"/>
    </row>
    <row r="404">
      <c r="A404" s="88"/>
      <c r="B404" s="88"/>
      <c r="C404" s="88"/>
      <c r="D404" s="88"/>
      <c r="E404" s="88"/>
    </row>
    <row r="405">
      <c r="A405" s="88"/>
      <c r="B405" s="88"/>
      <c r="C405" s="88"/>
      <c r="D405" s="88"/>
      <c r="E405" s="88"/>
    </row>
    <row r="406">
      <c r="A406" s="88"/>
      <c r="B406" s="88"/>
      <c r="C406" s="88"/>
      <c r="D406" s="88"/>
      <c r="E406" s="88"/>
    </row>
    <row r="407">
      <c r="A407" s="88"/>
      <c r="B407" s="88"/>
      <c r="C407" s="88"/>
      <c r="D407" s="88"/>
      <c r="E407" s="88"/>
    </row>
    <row r="408">
      <c r="A408" s="88"/>
      <c r="B408" s="88"/>
      <c r="C408" s="88"/>
      <c r="D408" s="88"/>
      <c r="E408" s="88"/>
    </row>
    <row r="409">
      <c r="A409" s="88"/>
      <c r="B409" s="88"/>
      <c r="C409" s="88"/>
      <c r="D409" s="88"/>
      <c r="E409" s="88"/>
    </row>
    <row r="410">
      <c r="A410" s="88"/>
      <c r="B410" s="88"/>
      <c r="C410" s="88"/>
      <c r="D410" s="88"/>
      <c r="E410" s="88"/>
    </row>
    <row r="411">
      <c r="A411" s="88"/>
      <c r="B411" s="88"/>
      <c r="C411" s="88"/>
      <c r="D411" s="88"/>
      <c r="E411" s="88"/>
    </row>
    <row r="412">
      <c r="A412" s="88"/>
      <c r="B412" s="88"/>
      <c r="C412" s="88"/>
      <c r="D412" s="88"/>
      <c r="E412" s="88"/>
    </row>
    <row r="413">
      <c r="A413" s="88"/>
      <c r="B413" s="88"/>
      <c r="C413" s="88"/>
      <c r="D413" s="88"/>
      <c r="E413" s="88"/>
    </row>
    <row r="414">
      <c r="A414" s="88"/>
      <c r="B414" s="88"/>
      <c r="C414" s="88"/>
      <c r="D414" s="88"/>
      <c r="E414" s="88"/>
    </row>
    <row r="415">
      <c r="A415" s="88"/>
      <c r="B415" s="88"/>
      <c r="C415" s="88"/>
      <c r="D415" s="88"/>
      <c r="E415" s="88"/>
    </row>
    <row r="416">
      <c r="A416" s="88"/>
      <c r="B416" s="88"/>
      <c r="C416" s="88"/>
      <c r="D416" s="88"/>
      <c r="E416" s="88"/>
    </row>
    <row r="417">
      <c r="A417" s="88"/>
      <c r="B417" s="88"/>
      <c r="C417" s="88"/>
      <c r="D417" s="88"/>
      <c r="E417" s="88"/>
    </row>
    <row r="418">
      <c r="A418" s="88"/>
      <c r="B418" s="88"/>
      <c r="C418" s="88"/>
      <c r="D418" s="88"/>
      <c r="E418" s="88"/>
    </row>
    <row r="419">
      <c r="A419" s="88"/>
      <c r="B419" s="88"/>
      <c r="C419" s="88"/>
      <c r="D419" s="88"/>
      <c r="E419" s="88"/>
    </row>
    <row r="420">
      <c r="A420" s="88"/>
      <c r="B420" s="88"/>
      <c r="C420" s="88"/>
      <c r="D420" s="88"/>
      <c r="E420" s="88"/>
    </row>
    <row r="421">
      <c r="A421" s="88"/>
      <c r="B421" s="88"/>
      <c r="C421" s="88"/>
      <c r="D421" s="88"/>
      <c r="E421" s="88"/>
    </row>
    <row r="422">
      <c r="A422" s="88"/>
      <c r="B422" s="88"/>
      <c r="C422" s="88"/>
      <c r="D422" s="88"/>
      <c r="E422" s="88"/>
    </row>
    <row r="423">
      <c r="A423" s="88"/>
      <c r="B423" s="88"/>
      <c r="C423" s="88"/>
      <c r="D423" s="88"/>
      <c r="E423" s="88"/>
    </row>
    <row r="424">
      <c r="A424" s="88"/>
      <c r="B424" s="88"/>
      <c r="C424" s="88"/>
      <c r="D424" s="88"/>
      <c r="E424" s="88"/>
    </row>
    <row r="425">
      <c r="A425" s="88"/>
      <c r="B425" s="88"/>
      <c r="C425" s="88"/>
      <c r="D425" s="88"/>
      <c r="E425" s="88"/>
    </row>
    <row r="426">
      <c r="A426" s="88"/>
      <c r="B426" s="88"/>
      <c r="C426" s="88"/>
      <c r="D426" s="88"/>
      <c r="E426" s="88"/>
    </row>
    <row r="427">
      <c r="A427" s="88"/>
      <c r="B427" s="88"/>
      <c r="C427" s="88"/>
      <c r="D427" s="88"/>
      <c r="E427" s="88"/>
    </row>
    <row r="428">
      <c r="A428" s="88"/>
      <c r="B428" s="88"/>
      <c r="C428" s="88"/>
      <c r="D428" s="88"/>
      <c r="E428" s="88"/>
    </row>
    <row r="429">
      <c r="A429" s="88"/>
      <c r="B429" s="88"/>
      <c r="C429" s="88"/>
      <c r="D429" s="88"/>
      <c r="E429" s="88"/>
    </row>
    <row r="430">
      <c r="A430" s="88"/>
      <c r="B430" s="88"/>
      <c r="C430" s="88"/>
      <c r="D430" s="88"/>
      <c r="E430" s="88"/>
    </row>
    <row r="431">
      <c r="A431" s="88"/>
      <c r="B431" s="88"/>
      <c r="C431" s="88"/>
      <c r="D431" s="88"/>
      <c r="E431" s="88"/>
    </row>
    <row r="432">
      <c r="A432" s="88"/>
      <c r="B432" s="88"/>
      <c r="C432" s="88"/>
      <c r="D432" s="88"/>
      <c r="E432" s="88"/>
    </row>
    <row r="433">
      <c r="A433" s="88"/>
      <c r="B433" s="88"/>
      <c r="C433" s="88"/>
      <c r="D433" s="88"/>
      <c r="E433" s="88"/>
    </row>
    <row r="434">
      <c r="A434" s="88"/>
      <c r="B434" s="88"/>
      <c r="C434" s="88"/>
      <c r="D434" s="88"/>
      <c r="E434" s="88"/>
    </row>
    <row r="435">
      <c r="A435" s="88"/>
      <c r="B435" s="88"/>
      <c r="C435" s="88"/>
      <c r="D435" s="88"/>
      <c r="E435" s="88"/>
    </row>
    <row r="436">
      <c r="A436" s="88"/>
      <c r="B436" s="88"/>
      <c r="C436" s="88"/>
      <c r="D436" s="88"/>
      <c r="E436" s="88"/>
    </row>
    <row r="437">
      <c r="A437" s="88"/>
      <c r="B437" s="88"/>
      <c r="C437" s="88"/>
      <c r="D437" s="88"/>
      <c r="E437" s="88"/>
    </row>
    <row r="438">
      <c r="A438" s="88"/>
      <c r="B438" s="88"/>
      <c r="C438" s="88"/>
      <c r="D438" s="88"/>
      <c r="E438" s="88"/>
    </row>
    <row r="439">
      <c r="A439" s="88"/>
      <c r="B439" s="88"/>
      <c r="C439" s="88"/>
      <c r="D439" s="88"/>
      <c r="E439" s="88"/>
    </row>
    <row r="440">
      <c r="A440" s="88"/>
      <c r="B440" s="88"/>
      <c r="C440" s="88"/>
      <c r="D440" s="88"/>
      <c r="E440" s="88"/>
    </row>
    <row r="441">
      <c r="A441" s="88"/>
      <c r="B441" s="88"/>
      <c r="C441" s="88"/>
      <c r="D441" s="88"/>
      <c r="E441" s="88"/>
    </row>
    <row r="442">
      <c r="A442" s="88"/>
      <c r="B442" s="88"/>
      <c r="C442" s="88"/>
      <c r="D442" s="88"/>
      <c r="E442" s="88"/>
    </row>
    <row r="443">
      <c r="A443" s="88"/>
      <c r="B443" s="88"/>
      <c r="C443" s="88"/>
      <c r="D443" s="88"/>
      <c r="E443" s="88"/>
    </row>
    <row r="444">
      <c r="A444" s="88"/>
      <c r="B444" s="88"/>
      <c r="C444" s="88"/>
      <c r="D444" s="88"/>
      <c r="E444" s="88"/>
    </row>
    <row r="445">
      <c r="A445" s="88"/>
      <c r="B445" s="88"/>
      <c r="C445" s="88"/>
      <c r="D445" s="88"/>
      <c r="E445" s="88"/>
    </row>
    <row r="446">
      <c r="A446" s="88"/>
      <c r="B446" s="88"/>
      <c r="C446" s="88"/>
      <c r="D446" s="88"/>
      <c r="E446" s="88"/>
    </row>
    <row r="447">
      <c r="A447" s="88"/>
      <c r="B447" s="88"/>
      <c r="C447" s="88"/>
      <c r="D447" s="88"/>
      <c r="E447" s="88"/>
    </row>
    <row r="448">
      <c r="A448" s="88"/>
      <c r="B448" s="88"/>
      <c r="C448" s="88"/>
      <c r="D448" s="88"/>
      <c r="E448" s="88"/>
    </row>
    <row r="449">
      <c r="A449" s="88"/>
      <c r="B449" s="88"/>
      <c r="C449" s="88"/>
      <c r="D449" s="88"/>
      <c r="E449" s="88"/>
    </row>
    <row r="450">
      <c r="A450" s="88"/>
      <c r="B450" s="88"/>
      <c r="C450" s="88"/>
      <c r="D450" s="88"/>
      <c r="E450" s="88"/>
    </row>
    <row r="451">
      <c r="A451" s="88"/>
      <c r="B451" s="88"/>
      <c r="C451" s="88"/>
      <c r="D451" s="88"/>
      <c r="E451" s="88"/>
    </row>
    <row r="452">
      <c r="A452" s="88"/>
      <c r="B452" s="88"/>
      <c r="C452" s="88"/>
      <c r="D452" s="88"/>
      <c r="E452" s="88"/>
    </row>
    <row r="453">
      <c r="A453" s="88"/>
      <c r="B453" s="88"/>
      <c r="C453" s="88"/>
      <c r="D453" s="88"/>
      <c r="E453" s="88"/>
    </row>
    <row r="454">
      <c r="A454" s="88"/>
      <c r="B454" s="88"/>
      <c r="C454" s="88"/>
      <c r="D454" s="88"/>
      <c r="E454" s="88"/>
    </row>
    <row r="455">
      <c r="A455" s="88"/>
      <c r="B455" s="88"/>
      <c r="C455" s="88"/>
      <c r="D455" s="88"/>
      <c r="E455" s="88"/>
    </row>
    <row r="456">
      <c r="A456" s="88"/>
      <c r="B456" s="88"/>
      <c r="C456" s="88"/>
      <c r="D456" s="88"/>
      <c r="E456" s="88"/>
    </row>
    <row r="457">
      <c r="A457" s="88"/>
      <c r="B457" s="88"/>
      <c r="C457" s="88"/>
      <c r="D457" s="88"/>
      <c r="E457" s="88"/>
    </row>
    <row r="458">
      <c r="A458" s="88"/>
      <c r="B458" s="88"/>
      <c r="C458" s="88"/>
      <c r="D458" s="88"/>
      <c r="E458" s="88"/>
    </row>
    <row r="459">
      <c r="A459" s="88"/>
      <c r="B459" s="88"/>
      <c r="C459" s="88"/>
      <c r="D459" s="88"/>
      <c r="E459" s="88"/>
    </row>
    <row r="460">
      <c r="A460" s="88"/>
      <c r="B460" s="88"/>
      <c r="C460" s="88"/>
      <c r="D460" s="88"/>
      <c r="E460" s="88"/>
    </row>
    <row r="461">
      <c r="A461" s="88"/>
      <c r="B461" s="88"/>
      <c r="C461" s="88"/>
      <c r="D461" s="88"/>
      <c r="E461" s="88"/>
    </row>
    <row r="462">
      <c r="A462" s="88"/>
      <c r="B462" s="88"/>
      <c r="C462" s="88"/>
      <c r="D462" s="88"/>
      <c r="E462" s="88"/>
    </row>
    <row r="463">
      <c r="A463" s="88"/>
      <c r="B463" s="88"/>
      <c r="C463" s="88"/>
      <c r="D463" s="88"/>
      <c r="E463" s="88"/>
    </row>
    <row r="464">
      <c r="A464" s="88"/>
      <c r="B464" s="88"/>
      <c r="C464" s="88"/>
      <c r="D464" s="88"/>
      <c r="E464" s="88"/>
    </row>
    <row r="465">
      <c r="A465" s="88"/>
      <c r="B465" s="88"/>
      <c r="C465" s="88"/>
      <c r="D465" s="88"/>
      <c r="E465" s="88"/>
    </row>
    <row r="466">
      <c r="A466" s="88"/>
      <c r="B466" s="88"/>
      <c r="C466" s="88"/>
      <c r="D466" s="88"/>
      <c r="E466" s="88"/>
    </row>
    <row r="467">
      <c r="A467" s="88"/>
      <c r="B467" s="88"/>
      <c r="C467" s="88"/>
      <c r="D467" s="88"/>
      <c r="E467" s="88"/>
    </row>
    <row r="468">
      <c r="A468" s="88"/>
      <c r="B468" s="88"/>
      <c r="C468" s="88"/>
      <c r="D468" s="88"/>
      <c r="E468" s="88"/>
    </row>
    <row r="469">
      <c r="A469" s="88"/>
      <c r="B469" s="88"/>
      <c r="C469" s="88"/>
      <c r="D469" s="88"/>
      <c r="E469" s="88"/>
    </row>
    <row r="470">
      <c r="A470" s="88"/>
      <c r="B470" s="88"/>
      <c r="C470" s="88"/>
      <c r="D470" s="88"/>
      <c r="E470" s="88"/>
    </row>
    <row r="471">
      <c r="A471" s="88"/>
      <c r="B471" s="88"/>
      <c r="C471" s="88"/>
      <c r="D471" s="88"/>
      <c r="E471" s="88"/>
    </row>
    <row r="472">
      <c r="A472" s="88"/>
      <c r="B472" s="88"/>
      <c r="C472" s="88"/>
      <c r="D472" s="88"/>
      <c r="E472" s="88"/>
    </row>
    <row r="473">
      <c r="A473" s="88"/>
      <c r="B473" s="88"/>
      <c r="C473" s="88"/>
      <c r="D473" s="88"/>
      <c r="E473" s="88"/>
    </row>
    <row r="474">
      <c r="A474" s="88"/>
      <c r="B474" s="88"/>
      <c r="C474" s="88"/>
      <c r="D474" s="88"/>
      <c r="E474" s="88"/>
    </row>
    <row r="475">
      <c r="A475" s="88"/>
      <c r="B475" s="88"/>
      <c r="C475" s="88"/>
      <c r="D475" s="88"/>
      <c r="E475" s="88"/>
    </row>
    <row r="476">
      <c r="A476" s="88"/>
      <c r="B476" s="88"/>
      <c r="C476" s="88"/>
      <c r="D476" s="88"/>
      <c r="E476" s="88"/>
    </row>
    <row r="477">
      <c r="A477" s="88"/>
      <c r="B477" s="88"/>
      <c r="C477" s="88"/>
      <c r="D477" s="88"/>
      <c r="E477" s="88"/>
    </row>
    <row r="478">
      <c r="A478" s="88"/>
      <c r="B478" s="88"/>
      <c r="C478" s="88"/>
      <c r="D478" s="88"/>
      <c r="E478" s="88"/>
    </row>
    <row r="479">
      <c r="A479" s="88"/>
      <c r="B479" s="88"/>
      <c r="C479" s="88"/>
      <c r="D479" s="88"/>
      <c r="E479" s="88"/>
    </row>
    <row r="480">
      <c r="A480" s="88"/>
      <c r="B480" s="88"/>
      <c r="C480" s="88"/>
      <c r="D480" s="88"/>
      <c r="E480" s="88"/>
    </row>
    <row r="481">
      <c r="A481" s="88"/>
      <c r="B481" s="88"/>
      <c r="C481" s="88"/>
      <c r="D481" s="88"/>
      <c r="E481" s="88"/>
    </row>
    <row r="482">
      <c r="A482" s="88"/>
      <c r="B482" s="88"/>
      <c r="C482" s="88"/>
      <c r="D482" s="88"/>
      <c r="E482" s="88"/>
    </row>
    <row r="483">
      <c r="A483" s="88"/>
      <c r="B483" s="88"/>
      <c r="C483" s="88"/>
      <c r="D483" s="88"/>
      <c r="E483" s="88"/>
    </row>
    <row r="484">
      <c r="A484" s="88"/>
      <c r="B484" s="88"/>
      <c r="C484" s="88"/>
      <c r="D484" s="88"/>
      <c r="E484" s="88"/>
    </row>
    <row r="485">
      <c r="A485" s="88"/>
      <c r="B485" s="88"/>
      <c r="C485" s="88"/>
      <c r="D485" s="88"/>
      <c r="E485" s="88"/>
    </row>
    <row r="486">
      <c r="A486" s="88"/>
      <c r="B486" s="88"/>
      <c r="C486" s="88"/>
      <c r="D486" s="88"/>
      <c r="E486" s="88"/>
    </row>
    <row r="487">
      <c r="A487" s="88"/>
      <c r="B487" s="88"/>
      <c r="C487" s="88"/>
      <c r="D487" s="88"/>
      <c r="E487" s="88"/>
    </row>
    <row r="488">
      <c r="A488" s="88"/>
      <c r="B488" s="88"/>
      <c r="C488" s="88"/>
      <c r="D488" s="88"/>
      <c r="E488" s="88"/>
    </row>
    <row r="489">
      <c r="A489" s="88"/>
      <c r="B489" s="88"/>
      <c r="C489" s="88"/>
      <c r="D489" s="88"/>
      <c r="E489" s="88"/>
    </row>
    <row r="490">
      <c r="A490" s="88"/>
      <c r="B490" s="88"/>
      <c r="C490" s="88"/>
      <c r="D490" s="88"/>
      <c r="E490" s="88"/>
    </row>
    <row r="491">
      <c r="A491" s="88"/>
      <c r="B491" s="88"/>
      <c r="C491" s="88"/>
      <c r="D491" s="88"/>
      <c r="E491" s="88"/>
    </row>
    <row r="492">
      <c r="A492" s="88"/>
      <c r="B492" s="88"/>
      <c r="C492" s="88"/>
      <c r="D492" s="88"/>
      <c r="E492" s="88"/>
    </row>
    <row r="493">
      <c r="A493" s="88"/>
      <c r="B493" s="88"/>
      <c r="C493" s="88"/>
      <c r="D493" s="88"/>
      <c r="E493" s="88"/>
    </row>
    <row r="494">
      <c r="A494" s="88"/>
      <c r="B494" s="88"/>
      <c r="C494" s="88"/>
      <c r="D494" s="88"/>
      <c r="E494" s="88"/>
    </row>
    <row r="495">
      <c r="A495" s="88"/>
      <c r="B495" s="88"/>
      <c r="C495" s="88"/>
      <c r="D495" s="88"/>
      <c r="E495" s="88"/>
    </row>
    <row r="496">
      <c r="A496" s="88"/>
      <c r="B496" s="88"/>
      <c r="C496" s="88"/>
      <c r="D496" s="88"/>
      <c r="E496" s="88"/>
    </row>
    <row r="497">
      <c r="A497" s="88"/>
      <c r="B497" s="88"/>
      <c r="C497" s="88"/>
      <c r="D497" s="88"/>
      <c r="E497" s="88"/>
    </row>
    <row r="498">
      <c r="A498" s="88"/>
      <c r="B498" s="88"/>
      <c r="C498" s="88"/>
      <c r="D498" s="88"/>
      <c r="E498" s="88"/>
    </row>
    <row r="499">
      <c r="A499" s="88"/>
      <c r="B499" s="88"/>
      <c r="C499" s="88"/>
      <c r="D499" s="88"/>
      <c r="E499" s="88"/>
    </row>
    <row r="500">
      <c r="A500" s="88"/>
      <c r="B500" s="88"/>
      <c r="C500" s="88"/>
      <c r="D500" s="88"/>
      <c r="E500" s="88"/>
    </row>
    <row r="501">
      <c r="A501" s="88"/>
      <c r="B501" s="88"/>
      <c r="C501" s="88"/>
      <c r="D501" s="88"/>
      <c r="E501" s="88"/>
    </row>
    <row r="502">
      <c r="A502" s="88"/>
      <c r="B502" s="88"/>
      <c r="C502" s="88"/>
      <c r="D502" s="88"/>
      <c r="E502" s="88"/>
    </row>
    <row r="503">
      <c r="A503" s="88"/>
      <c r="B503" s="88"/>
      <c r="C503" s="88"/>
      <c r="D503" s="88"/>
      <c r="E503" s="88"/>
    </row>
    <row r="504">
      <c r="A504" s="88"/>
      <c r="B504" s="88"/>
      <c r="C504" s="88"/>
      <c r="D504" s="88"/>
      <c r="E504" s="88"/>
    </row>
    <row r="505">
      <c r="A505" s="88"/>
      <c r="B505" s="88"/>
      <c r="C505" s="88"/>
      <c r="D505" s="88"/>
      <c r="E505" s="88"/>
    </row>
    <row r="506">
      <c r="A506" s="88"/>
      <c r="B506" s="88"/>
      <c r="C506" s="88"/>
      <c r="D506" s="88"/>
      <c r="E506" s="88"/>
    </row>
    <row r="507">
      <c r="A507" s="88"/>
      <c r="B507" s="88"/>
      <c r="C507" s="88"/>
      <c r="D507" s="88"/>
      <c r="E507" s="88"/>
    </row>
    <row r="508">
      <c r="A508" s="88"/>
      <c r="B508" s="88"/>
      <c r="C508" s="88"/>
      <c r="D508" s="88"/>
      <c r="E508" s="88"/>
    </row>
    <row r="509">
      <c r="A509" s="88"/>
      <c r="B509" s="88"/>
      <c r="C509" s="88"/>
      <c r="D509" s="88"/>
      <c r="E509" s="88"/>
    </row>
    <row r="510">
      <c r="A510" s="88"/>
      <c r="B510" s="88"/>
      <c r="C510" s="88"/>
      <c r="D510" s="88"/>
      <c r="E510" s="88"/>
    </row>
    <row r="511">
      <c r="A511" s="88"/>
      <c r="B511" s="88"/>
      <c r="C511" s="88"/>
      <c r="D511" s="88"/>
      <c r="E511" s="88"/>
    </row>
    <row r="512">
      <c r="A512" s="88"/>
      <c r="B512" s="88"/>
      <c r="C512" s="88"/>
      <c r="D512" s="88"/>
      <c r="E512" s="88"/>
    </row>
    <row r="513">
      <c r="A513" s="88"/>
      <c r="B513" s="88"/>
      <c r="C513" s="88"/>
      <c r="D513" s="88"/>
      <c r="E513" s="88"/>
    </row>
    <row r="514">
      <c r="A514" s="88"/>
      <c r="B514" s="88"/>
      <c r="C514" s="88"/>
      <c r="D514" s="88"/>
      <c r="E514" s="88"/>
    </row>
    <row r="515">
      <c r="A515" s="88"/>
      <c r="B515" s="88"/>
      <c r="C515" s="88"/>
      <c r="D515" s="88"/>
      <c r="E515" s="88"/>
    </row>
    <row r="516">
      <c r="A516" s="88"/>
      <c r="B516" s="88"/>
      <c r="C516" s="88"/>
      <c r="D516" s="88"/>
      <c r="E516" s="88"/>
    </row>
    <row r="517">
      <c r="A517" s="88"/>
      <c r="B517" s="88"/>
      <c r="C517" s="88"/>
      <c r="D517" s="88"/>
      <c r="E517" s="88"/>
    </row>
    <row r="518">
      <c r="A518" s="88"/>
      <c r="B518" s="88"/>
      <c r="C518" s="88"/>
      <c r="D518" s="88"/>
      <c r="E518" s="88"/>
    </row>
    <row r="519">
      <c r="A519" s="88"/>
      <c r="B519" s="88"/>
      <c r="C519" s="88"/>
      <c r="D519" s="88"/>
      <c r="E519" s="88"/>
    </row>
    <row r="520">
      <c r="A520" s="88"/>
      <c r="B520" s="88"/>
      <c r="C520" s="88"/>
      <c r="D520" s="88"/>
      <c r="E520" s="88"/>
    </row>
    <row r="521">
      <c r="A521" s="88"/>
      <c r="B521" s="88"/>
      <c r="C521" s="88"/>
      <c r="D521" s="88"/>
      <c r="E521" s="88"/>
    </row>
    <row r="522">
      <c r="A522" s="88"/>
      <c r="B522" s="88"/>
      <c r="C522" s="88"/>
      <c r="D522" s="88"/>
      <c r="E522" s="88"/>
    </row>
    <row r="523">
      <c r="A523" s="88"/>
      <c r="B523" s="88"/>
      <c r="C523" s="88"/>
      <c r="D523" s="88"/>
      <c r="E523" s="88"/>
    </row>
    <row r="524">
      <c r="A524" s="88"/>
      <c r="B524" s="88"/>
      <c r="C524" s="88"/>
      <c r="D524" s="88"/>
      <c r="E524" s="88"/>
    </row>
    <row r="525">
      <c r="A525" s="88"/>
      <c r="B525" s="88"/>
      <c r="C525" s="88"/>
      <c r="D525" s="88"/>
      <c r="E525" s="88"/>
    </row>
    <row r="526">
      <c r="A526" s="88"/>
      <c r="B526" s="88"/>
      <c r="C526" s="88"/>
      <c r="D526" s="88"/>
      <c r="E526" s="88"/>
    </row>
    <row r="527">
      <c r="A527" s="88"/>
      <c r="B527" s="88"/>
      <c r="C527" s="88"/>
      <c r="D527" s="88"/>
      <c r="E527" s="88"/>
    </row>
    <row r="528">
      <c r="A528" s="88"/>
      <c r="B528" s="88"/>
      <c r="C528" s="88"/>
      <c r="D528" s="88"/>
      <c r="E528" s="88"/>
    </row>
    <row r="529">
      <c r="A529" s="88"/>
      <c r="B529" s="88"/>
      <c r="C529" s="88"/>
      <c r="D529" s="88"/>
      <c r="E529" s="88"/>
    </row>
    <row r="530">
      <c r="A530" s="88"/>
      <c r="B530" s="88"/>
      <c r="C530" s="88"/>
      <c r="D530" s="88"/>
      <c r="E530" s="88"/>
    </row>
    <row r="531">
      <c r="A531" s="88"/>
      <c r="B531" s="88"/>
      <c r="C531" s="88"/>
      <c r="D531" s="88"/>
      <c r="E531" s="88"/>
    </row>
    <row r="532">
      <c r="A532" s="88"/>
      <c r="B532" s="88"/>
      <c r="C532" s="88"/>
      <c r="D532" s="88"/>
      <c r="E532" s="88"/>
    </row>
    <row r="533">
      <c r="A533" s="88"/>
      <c r="B533" s="88"/>
      <c r="C533" s="88"/>
      <c r="D533" s="88"/>
      <c r="E533" s="88"/>
    </row>
    <row r="534">
      <c r="A534" s="88"/>
      <c r="B534" s="88"/>
      <c r="C534" s="88"/>
      <c r="D534" s="88"/>
      <c r="E534" s="88"/>
    </row>
    <row r="535">
      <c r="A535" s="88"/>
      <c r="B535" s="88"/>
      <c r="C535" s="88"/>
      <c r="D535" s="88"/>
      <c r="E535" s="88"/>
    </row>
    <row r="536">
      <c r="A536" s="88"/>
      <c r="B536" s="88"/>
      <c r="C536" s="88"/>
      <c r="D536" s="88"/>
      <c r="E536" s="88"/>
    </row>
    <row r="537">
      <c r="A537" s="88"/>
      <c r="B537" s="88"/>
      <c r="C537" s="88"/>
      <c r="D537" s="88"/>
      <c r="E537" s="88"/>
    </row>
    <row r="538">
      <c r="A538" s="88"/>
      <c r="B538" s="88"/>
      <c r="C538" s="88"/>
      <c r="D538" s="88"/>
      <c r="E538" s="88"/>
    </row>
    <row r="539">
      <c r="A539" s="88"/>
      <c r="B539" s="88"/>
      <c r="C539" s="88"/>
      <c r="D539" s="88"/>
      <c r="E539" s="88"/>
    </row>
    <row r="540">
      <c r="A540" s="88"/>
      <c r="B540" s="88"/>
      <c r="C540" s="88"/>
      <c r="D540" s="88"/>
      <c r="E540" s="88"/>
    </row>
    <row r="541">
      <c r="A541" s="88"/>
      <c r="B541" s="88"/>
      <c r="C541" s="88"/>
      <c r="D541" s="88"/>
      <c r="E541" s="88"/>
    </row>
    <row r="542">
      <c r="A542" s="88"/>
      <c r="B542" s="88"/>
      <c r="C542" s="88"/>
      <c r="D542" s="88"/>
      <c r="E542" s="88"/>
    </row>
    <row r="543">
      <c r="A543" s="88"/>
      <c r="B543" s="88"/>
      <c r="C543" s="88"/>
      <c r="D543" s="88"/>
      <c r="E543" s="88"/>
    </row>
    <row r="544">
      <c r="A544" s="88"/>
      <c r="B544" s="88"/>
      <c r="C544" s="88"/>
      <c r="D544" s="88"/>
      <c r="E544" s="88"/>
    </row>
    <row r="545">
      <c r="A545" s="88"/>
      <c r="B545" s="88"/>
      <c r="C545" s="88"/>
      <c r="D545" s="88"/>
      <c r="E545" s="88"/>
    </row>
    <row r="546">
      <c r="A546" s="88"/>
      <c r="B546" s="88"/>
      <c r="C546" s="88"/>
      <c r="D546" s="88"/>
      <c r="E546" s="88"/>
    </row>
    <row r="547">
      <c r="A547" s="88"/>
      <c r="B547" s="88"/>
      <c r="C547" s="88"/>
      <c r="D547" s="88"/>
      <c r="E547" s="88"/>
    </row>
    <row r="548">
      <c r="A548" s="88"/>
      <c r="B548" s="88"/>
      <c r="C548" s="88"/>
      <c r="D548" s="88"/>
      <c r="E548" s="88"/>
    </row>
    <row r="549">
      <c r="A549" s="88"/>
      <c r="B549" s="88"/>
      <c r="C549" s="88"/>
      <c r="D549" s="88"/>
      <c r="E549" s="88"/>
    </row>
    <row r="550">
      <c r="A550" s="88"/>
      <c r="B550" s="88"/>
      <c r="C550" s="88"/>
      <c r="D550" s="88"/>
      <c r="E550" s="88"/>
    </row>
    <row r="551">
      <c r="A551" s="88"/>
      <c r="B551" s="88"/>
      <c r="C551" s="88"/>
      <c r="D551" s="88"/>
      <c r="E551" s="88"/>
    </row>
    <row r="552">
      <c r="A552" s="88"/>
      <c r="B552" s="88"/>
      <c r="C552" s="88"/>
      <c r="D552" s="88"/>
      <c r="E552" s="88"/>
    </row>
    <row r="553">
      <c r="A553" s="88"/>
      <c r="B553" s="88"/>
      <c r="C553" s="88"/>
      <c r="D553" s="88"/>
      <c r="E553" s="88"/>
    </row>
    <row r="554">
      <c r="A554" s="88"/>
      <c r="B554" s="88"/>
      <c r="C554" s="88"/>
      <c r="D554" s="88"/>
      <c r="E554" s="88"/>
    </row>
    <row r="555">
      <c r="A555" s="88"/>
      <c r="B555" s="88"/>
      <c r="C555" s="88"/>
      <c r="D555" s="88"/>
      <c r="E555" s="88"/>
    </row>
    <row r="556">
      <c r="A556" s="88"/>
      <c r="B556" s="88"/>
      <c r="C556" s="88"/>
      <c r="D556" s="88"/>
      <c r="E556" s="88"/>
    </row>
    <row r="557">
      <c r="A557" s="88"/>
      <c r="B557" s="88"/>
      <c r="C557" s="88"/>
      <c r="D557" s="88"/>
      <c r="E557" s="88"/>
    </row>
    <row r="558">
      <c r="A558" s="88"/>
      <c r="B558" s="88"/>
      <c r="C558" s="88"/>
      <c r="D558" s="88"/>
      <c r="E558" s="88"/>
    </row>
    <row r="559">
      <c r="A559" s="88"/>
      <c r="B559" s="88"/>
      <c r="C559" s="88"/>
      <c r="D559" s="88"/>
      <c r="E559" s="88"/>
    </row>
    <row r="560">
      <c r="A560" s="88"/>
      <c r="B560" s="88"/>
      <c r="C560" s="88"/>
      <c r="D560" s="88"/>
      <c r="E560" s="88"/>
    </row>
    <row r="561">
      <c r="A561" s="88"/>
      <c r="B561" s="88"/>
      <c r="C561" s="88"/>
      <c r="D561" s="88"/>
      <c r="E561" s="88"/>
    </row>
    <row r="562">
      <c r="A562" s="88"/>
      <c r="B562" s="88"/>
      <c r="C562" s="88"/>
      <c r="D562" s="88"/>
      <c r="E562" s="88"/>
    </row>
    <row r="563">
      <c r="A563" s="88"/>
      <c r="B563" s="88"/>
      <c r="C563" s="88"/>
      <c r="D563" s="88"/>
      <c r="E563" s="88"/>
    </row>
    <row r="564">
      <c r="A564" s="88"/>
      <c r="B564" s="88"/>
      <c r="C564" s="88"/>
      <c r="D564" s="88"/>
      <c r="E564" s="88"/>
    </row>
    <row r="565">
      <c r="A565" s="88"/>
      <c r="B565" s="88"/>
      <c r="C565" s="88"/>
      <c r="D565" s="88"/>
      <c r="E565" s="88"/>
    </row>
    <row r="566">
      <c r="A566" s="88"/>
      <c r="B566" s="88"/>
      <c r="C566" s="88"/>
      <c r="D566" s="88"/>
      <c r="E566" s="88"/>
    </row>
    <row r="567">
      <c r="A567" s="88"/>
      <c r="B567" s="88"/>
      <c r="C567" s="88"/>
      <c r="D567" s="88"/>
      <c r="E567" s="88"/>
    </row>
    <row r="568">
      <c r="A568" s="88"/>
      <c r="B568" s="88"/>
      <c r="C568" s="88"/>
      <c r="D568" s="88"/>
      <c r="E568" s="88"/>
    </row>
    <row r="569">
      <c r="A569" s="88"/>
      <c r="B569" s="88"/>
      <c r="C569" s="88"/>
      <c r="D569" s="88"/>
      <c r="E569" s="88"/>
    </row>
    <row r="570">
      <c r="A570" s="88"/>
      <c r="B570" s="88"/>
      <c r="C570" s="88"/>
      <c r="D570" s="88"/>
      <c r="E570" s="88"/>
    </row>
    <row r="571">
      <c r="A571" s="88"/>
      <c r="B571" s="88"/>
      <c r="C571" s="88"/>
      <c r="D571" s="88"/>
      <c r="E571" s="88"/>
    </row>
    <row r="572">
      <c r="A572" s="88"/>
      <c r="B572" s="88"/>
      <c r="C572" s="88"/>
      <c r="D572" s="88"/>
      <c r="E572" s="88"/>
    </row>
    <row r="573">
      <c r="A573" s="88"/>
      <c r="B573" s="88"/>
      <c r="C573" s="88"/>
      <c r="D573" s="88"/>
      <c r="E573" s="88"/>
    </row>
    <row r="574">
      <c r="A574" s="88"/>
      <c r="B574" s="88"/>
      <c r="C574" s="88"/>
      <c r="D574" s="88"/>
      <c r="E574" s="88"/>
    </row>
    <row r="575">
      <c r="A575" s="88"/>
      <c r="B575" s="88"/>
      <c r="C575" s="88"/>
      <c r="D575" s="88"/>
      <c r="E575" s="88"/>
    </row>
    <row r="576">
      <c r="A576" s="88"/>
      <c r="B576" s="88"/>
      <c r="C576" s="88"/>
      <c r="D576" s="88"/>
      <c r="E576" s="88"/>
    </row>
    <row r="577">
      <c r="A577" s="88"/>
      <c r="B577" s="88"/>
      <c r="C577" s="88"/>
      <c r="D577" s="88"/>
      <c r="E577" s="88"/>
    </row>
    <row r="578">
      <c r="A578" s="88"/>
      <c r="B578" s="88"/>
      <c r="C578" s="88"/>
      <c r="D578" s="88"/>
      <c r="E578" s="88"/>
    </row>
    <row r="579">
      <c r="A579" s="88"/>
      <c r="B579" s="88"/>
      <c r="C579" s="88"/>
      <c r="D579" s="88"/>
      <c r="E579" s="88"/>
    </row>
    <row r="580">
      <c r="A580" s="88"/>
      <c r="B580" s="88"/>
      <c r="C580" s="88"/>
      <c r="D580" s="88"/>
      <c r="E580" s="88"/>
    </row>
    <row r="581">
      <c r="A581" s="88"/>
      <c r="B581" s="88"/>
      <c r="C581" s="88"/>
      <c r="D581" s="88"/>
      <c r="E581" s="88"/>
    </row>
    <row r="582">
      <c r="A582" s="88"/>
      <c r="B582" s="88"/>
      <c r="C582" s="88"/>
      <c r="D582" s="88"/>
      <c r="E582" s="88"/>
    </row>
    <row r="583">
      <c r="A583" s="88"/>
      <c r="B583" s="88"/>
      <c r="C583" s="88"/>
      <c r="D583" s="88"/>
      <c r="E583" s="88"/>
    </row>
    <row r="584">
      <c r="A584" s="88"/>
      <c r="B584" s="88"/>
      <c r="C584" s="88"/>
      <c r="D584" s="88"/>
      <c r="E584" s="88"/>
    </row>
    <row r="585">
      <c r="A585" s="88"/>
      <c r="B585" s="88"/>
      <c r="C585" s="88"/>
      <c r="D585" s="88"/>
      <c r="E585" s="88"/>
    </row>
    <row r="586">
      <c r="A586" s="88"/>
      <c r="B586" s="88"/>
      <c r="C586" s="88"/>
      <c r="D586" s="88"/>
      <c r="E586" s="88"/>
    </row>
    <row r="587">
      <c r="A587" s="88"/>
      <c r="B587" s="88"/>
      <c r="C587" s="88"/>
      <c r="D587" s="88"/>
      <c r="E587" s="88"/>
    </row>
    <row r="588">
      <c r="A588" s="88"/>
      <c r="B588" s="88"/>
      <c r="C588" s="88"/>
      <c r="D588" s="88"/>
      <c r="E588" s="88"/>
    </row>
    <row r="589">
      <c r="A589" s="88"/>
      <c r="B589" s="88"/>
      <c r="C589" s="88"/>
      <c r="D589" s="88"/>
      <c r="E589" s="88"/>
    </row>
    <row r="590">
      <c r="A590" s="88"/>
      <c r="B590" s="88"/>
      <c r="C590" s="88"/>
      <c r="D590" s="88"/>
      <c r="E590" s="88"/>
    </row>
    <row r="591">
      <c r="A591" s="88"/>
      <c r="B591" s="88"/>
      <c r="C591" s="88"/>
      <c r="D591" s="88"/>
      <c r="E591" s="88"/>
    </row>
    <row r="592">
      <c r="A592" s="88"/>
      <c r="B592" s="88"/>
      <c r="C592" s="88"/>
      <c r="D592" s="88"/>
      <c r="E592" s="88"/>
    </row>
    <row r="593">
      <c r="A593" s="88"/>
      <c r="B593" s="88"/>
      <c r="C593" s="88"/>
      <c r="D593" s="88"/>
      <c r="E593" s="88"/>
    </row>
    <row r="594">
      <c r="A594" s="88"/>
      <c r="B594" s="88"/>
      <c r="C594" s="88"/>
      <c r="D594" s="88"/>
      <c r="E594" s="88"/>
    </row>
    <row r="595">
      <c r="A595" s="88"/>
      <c r="B595" s="88"/>
      <c r="C595" s="88"/>
      <c r="D595" s="88"/>
      <c r="E595" s="88"/>
    </row>
    <row r="596">
      <c r="A596" s="88"/>
      <c r="B596" s="88"/>
      <c r="C596" s="88"/>
      <c r="D596" s="88"/>
      <c r="E596" s="88"/>
    </row>
    <row r="597">
      <c r="A597" s="88"/>
      <c r="B597" s="88"/>
      <c r="C597" s="88"/>
      <c r="D597" s="88"/>
      <c r="E597" s="88"/>
    </row>
    <row r="598">
      <c r="A598" s="88"/>
      <c r="B598" s="88"/>
      <c r="C598" s="88"/>
      <c r="D598" s="88"/>
      <c r="E598" s="88"/>
    </row>
    <row r="599">
      <c r="A599" s="88"/>
      <c r="B599" s="88"/>
      <c r="C599" s="88"/>
      <c r="D599" s="88"/>
      <c r="E599" s="88"/>
    </row>
    <row r="600">
      <c r="A600" s="88"/>
      <c r="B600" s="88"/>
      <c r="C600" s="88"/>
      <c r="D600" s="88"/>
      <c r="E600" s="88"/>
    </row>
    <row r="601">
      <c r="A601" s="88"/>
      <c r="B601" s="88"/>
      <c r="C601" s="88"/>
      <c r="D601" s="88"/>
      <c r="E601" s="88"/>
    </row>
    <row r="602">
      <c r="A602" s="88"/>
      <c r="B602" s="88"/>
      <c r="C602" s="88"/>
      <c r="D602" s="88"/>
      <c r="E602" s="88"/>
    </row>
    <row r="603">
      <c r="A603" s="88"/>
      <c r="B603" s="88"/>
      <c r="C603" s="88"/>
      <c r="D603" s="88"/>
      <c r="E603" s="88"/>
    </row>
    <row r="604">
      <c r="A604" s="88"/>
      <c r="B604" s="88"/>
      <c r="C604" s="88"/>
      <c r="D604" s="88"/>
      <c r="E604" s="88"/>
    </row>
    <row r="605">
      <c r="A605" s="88"/>
      <c r="B605" s="88"/>
      <c r="C605" s="88"/>
      <c r="D605" s="88"/>
      <c r="E605" s="88"/>
    </row>
    <row r="606">
      <c r="A606" s="88"/>
      <c r="B606" s="88"/>
      <c r="C606" s="88"/>
      <c r="D606" s="88"/>
      <c r="E606" s="88"/>
    </row>
    <row r="607">
      <c r="A607" s="88"/>
      <c r="B607" s="88"/>
      <c r="C607" s="88"/>
      <c r="D607" s="88"/>
      <c r="E607" s="88"/>
    </row>
    <row r="608">
      <c r="A608" s="88"/>
      <c r="B608" s="88"/>
      <c r="C608" s="88"/>
      <c r="D608" s="88"/>
      <c r="E608" s="88"/>
    </row>
    <row r="609">
      <c r="A609" s="88"/>
      <c r="B609" s="88"/>
      <c r="C609" s="88"/>
      <c r="D609" s="88"/>
      <c r="E609" s="88"/>
    </row>
    <row r="610">
      <c r="A610" s="88"/>
      <c r="B610" s="88"/>
      <c r="C610" s="88"/>
      <c r="D610" s="88"/>
      <c r="E610" s="88"/>
    </row>
    <row r="611">
      <c r="A611" s="88"/>
      <c r="B611" s="88"/>
      <c r="C611" s="88"/>
      <c r="D611" s="88"/>
      <c r="E611" s="88"/>
    </row>
    <row r="612">
      <c r="A612" s="88"/>
      <c r="B612" s="88"/>
      <c r="C612" s="88"/>
      <c r="D612" s="88"/>
      <c r="E612" s="88"/>
    </row>
    <row r="613">
      <c r="A613" s="88"/>
      <c r="B613" s="88"/>
      <c r="C613" s="88"/>
      <c r="D613" s="88"/>
      <c r="E613" s="88"/>
    </row>
    <row r="614">
      <c r="A614" s="88"/>
      <c r="B614" s="88"/>
      <c r="C614" s="88"/>
      <c r="D614" s="88"/>
      <c r="E614" s="88"/>
    </row>
    <row r="615">
      <c r="A615" s="88"/>
      <c r="B615" s="88"/>
      <c r="C615" s="88"/>
      <c r="D615" s="88"/>
      <c r="E615" s="88"/>
    </row>
    <row r="616">
      <c r="A616" s="88"/>
      <c r="B616" s="88"/>
      <c r="C616" s="88"/>
      <c r="D616" s="88"/>
      <c r="E616" s="88"/>
    </row>
    <row r="617">
      <c r="A617" s="88"/>
      <c r="B617" s="88"/>
      <c r="C617" s="88"/>
      <c r="D617" s="88"/>
      <c r="E617" s="88"/>
    </row>
    <row r="618">
      <c r="A618" s="88"/>
      <c r="B618" s="88"/>
      <c r="C618" s="88"/>
      <c r="D618" s="88"/>
      <c r="E618" s="88"/>
    </row>
    <row r="619">
      <c r="A619" s="88"/>
      <c r="B619" s="88"/>
      <c r="C619" s="88"/>
      <c r="D619" s="88"/>
      <c r="E619" s="88"/>
    </row>
    <row r="620">
      <c r="A620" s="88"/>
      <c r="B620" s="88"/>
      <c r="C620" s="88"/>
      <c r="D620" s="88"/>
      <c r="E620" s="88"/>
    </row>
    <row r="621">
      <c r="A621" s="88"/>
      <c r="B621" s="88"/>
      <c r="C621" s="88"/>
      <c r="D621" s="88"/>
      <c r="E621" s="88"/>
    </row>
    <row r="622">
      <c r="A622" s="88"/>
      <c r="B622" s="88"/>
      <c r="C622" s="88"/>
      <c r="D622" s="88"/>
      <c r="E622" s="88"/>
    </row>
    <row r="623">
      <c r="A623" s="88"/>
      <c r="B623" s="88"/>
      <c r="C623" s="88"/>
      <c r="D623" s="88"/>
      <c r="E623" s="88"/>
    </row>
    <row r="624">
      <c r="A624" s="88"/>
      <c r="B624" s="88"/>
      <c r="C624" s="88"/>
      <c r="D624" s="88"/>
      <c r="E624" s="88"/>
    </row>
    <row r="625">
      <c r="A625" s="88"/>
      <c r="B625" s="88"/>
      <c r="C625" s="88"/>
      <c r="D625" s="88"/>
      <c r="E625" s="88"/>
    </row>
    <row r="626">
      <c r="A626" s="88"/>
      <c r="B626" s="88"/>
      <c r="C626" s="88"/>
      <c r="D626" s="88"/>
      <c r="E626" s="88"/>
    </row>
    <row r="627">
      <c r="A627" s="88"/>
      <c r="B627" s="88"/>
      <c r="C627" s="88"/>
      <c r="D627" s="88"/>
      <c r="E627" s="88"/>
    </row>
    <row r="628">
      <c r="A628" s="88"/>
      <c r="B628" s="88"/>
      <c r="C628" s="88"/>
      <c r="D628" s="88"/>
      <c r="E628" s="88"/>
    </row>
    <row r="629">
      <c r="A629" s="88"/>
      <c r="B629" s="88"/>
      <c r="C629" s="88"/>
      <c r="D629" s="88"/>
      <c r="E629" s="88"/>
    </row>
    <row r="630">
      <c r="A630" s="88"/>
      <c r="B630" s="88"/>
      <c r="C630" s="88"/>
      <c r="D630" s="88"/>
      <c r="E630" s="88"/>
    </row>
    <row r="631">
      <c r="A631" s="88"/>
      <c r="B631" s="88"/>
      <c r="C631" s="88"/>
      <c r="D631" s="88"/>
      <c r="E631" s="88"/>
    </row>
    <row r="632">
      <c r="A632" s="88"/>
      <c r="B632" s="88"/>
      <c r="C632" s="88"/>
      <c r="D632" s="88"/>
      <c r="E632" s="88"/>
    </row>
    <row r="633">
      <c r="A633" s="88"/>
      <c r="B633" s="88"/>
      <c r="C633" s="88"/>
      <c r="D633" s="88"/>
      <c r="E633" s="88"/>
    </row>
    <row r="634">
      <c r="A634" s="88"/>
      <c r="B634" s="88"/>
      <c r="C634" s="88"/>
      <c r="D634" s="88"/>
      <c r="E634" s="88"/>
    </row>
    <row r="635">
      <c r="A635" s="88"/>
      <c r="B635" s="88"/>
      <c r="C635" s="88"/>
      <c r="D635" s="88"/>
      <c r="E635" s="88"/>
    </row>
    <row r="636">
      <c r="A636" s="88"/>
      <c r="B636" s="88"/>
      <c r="C636" s="88"/>
      <c r="D636" s="88"/>
      <c r="E636" s="88"/>
    </row>
    <row r="637">
      <c r="A637" s="88"/>
      <c r="B637" s="88"/>
      <c r="C637" s="88"/>
      <c r="D637" s="88"/>
      <c r="E637" s="88"/>
    </row>
    <row r="638">
      <c r="A638" s="88"/>
      <c r="B638" s="88"/>
      <c r="C638" s="88"/>
      <c r="D638" s="88"/>
      <c r="E638" s="88"/>
    </row>
    <row r="639">
      <c r="A639" s="88"/>
      <c r="B639" s="88"/>
      <c r="C639" s="88"/>
      <c r="D639" s="88"/>
      <c r="E639" s="88"/>
    </row>
    <row r="640">
      <c r="A640" s="88"/>
      <c r="B640" s="88"/>
      <c r="C640" s="88"/>
      <c r="D640" s="88"/>
      <c r="E640" s="88"/>
    </row>
    <row r="641">
      <c r="A641" s="88"/>
      <c r="B641" s="88"/>
      <c r="C641" s="88"/>
      <c r="D641" s="88"/>
      <c r="E641" s="88"/>
    </row>
    <row r="642">
      <c r="A642" s="88"/>
      <c r="B642" s="88"/>
      <c r="C642" s="88"/>
      <c r="D642" s="88"/>
      <c r="E642" s="88"/>
    </row>
    <row r="643">
      <c r="A643" s="88"/>
      <c r="B643" s="88"/>
      <c r="C643" s="88"/>
      <c r="D643" s="88"/>
      <c r="E643" s="88"/>
    </row>
    <row r="644">
      <c r="A644" s="88"/>
      <c r="B644" s="88"/>
      <c r="C644" s="88"/>
      <c r="D644" s="88"/>
      <c r="E644" s="88"/>
    </row>
    <row r="645">
      <c r="A645" s="88"/>
      <c r="B645" s="88"/>
      <c r="C645" s="88"/>
      <c r="D645" s="88"/>
      <c r="E645" s="88"/>
    </row>
    <row r="646">
      <c r="A646" s="88"/>
      <c r="B646" s="88"/>
      <c r="C646" s="88"/>
      <c r="D646" s="88"/>
      <c r="E646" s="88"/>
    </row>
    <row r="647">
      <c r="A647" s="88"/>
      <c r="B647" s="88"/>
      <c r="C647" s="88"/>
      <c r="D647" s="88"/>
      <c r="E647" s="88"/>
    </row>
    <row r="648">
      <c r="A648" s="88"/>
      <c r="B648" s="88"/>
      <c r="C648" s="88"/>
      <c r="D648" s="88"/>
      <c r="E648" s="88"/>
    </row>
    <row r="649">
      <c r="A649" s="88"/>
      <c r="B649" s="88"/>
      <c r="C649" s="88"/>
      <c r="D649" s="88"/>
      <c r="E649" s="88"/>
    </row>
    <row r="650">
      <c r="A650" s="88"/>
      <c r="B650" s="88"/>
      <c r="C650" s="88"/>
      <c r="D650" s="88"/>
      <c r="E650" s="88"/>
    </row>
    <row r="651">
      <c r="A651" s="88"/>
      <c r="B651" s="88"/>
      <c r="C651" s="88"/>
      <c r="D651" s="88"/>
      <c r="E651" s="88"/>
    </row>
    <row r="652">
      <c r="A652" s="88"/>
      <c r="B652" s="88"/>
      <c r="C652" s="88"/>
      <c r="D652" s="88"/>
      <c r="E652" s="88"/>
    </row>
    <row r="653">
      <c r="A653" s="88"/>
      <c r="B653" s="88"/>
      <c r="C653" s="88"/>
      <c r="D653" s="88"/>
      <c r="E653" s="88"/>
    </row>
    <row r="654">
      <c r="A654" s="88"/>
      <c r="B654" s="88"/>
      <c r="C654" s="88"/>
      <c r="D654" s="88"/>
      <c r="E654" s="88"/>
    </row>
    <row r="655">
      <c r="A655" s="88"/>
      <c r="B655" s="88"/>
      <c r="C655" s="88"/>
      <c r="D655" s="88"/>
      <c r="E655" s="88"/>
    </row>
    <row r="656">
      <c r="A656" s="88"/>
      <c r="B656" s="88"/>
      <c r="C656" s="88"/>
      <c r="D656" s="88"/>
      <c r="E656" s="88"/>
    </row>
    <row r="657">
      <c r="A657" s="88"/>
      <c r="B657" s="88"/>
      <c r="C657" s="88"/>
      <c r="D657" s="88"/>
      <c r="E657" s="88"/>
    </row>
    <row r="658">
      <c r="A658" s="88"/>
      <c r="B658" s="88"/>
      <c r="C658" s="88"/>
      <c r="D658" s="88"/>
      <c r="E658" s="88"/>
    </row>
    <row r="659">
      <c r="A659" s="88"/>
      <c r="B659" s="88"/>
      <c r="C659" s="88"/>
      <c r="D659" s="88"/>
      <c r="E659" s="88"/>
    </row>
    <row r="660">
      <c r="A660" s="88"/>
      <c r="B660" s="88"/>
      <c r="C660" s="88"/>
      <c r="D660" s="88"/>
      <c r="E660" s="88"/>
    </row>
    <row r="661">
      <c r="A661" s="88"/>
      <c r="B661" s="88"/>
      <c r="C661" s="88"/>
      <c r="D661" s="88"/>
      <c r="E661" s="88"/>
    </row>
    <row r="662">
      <c r="A662" s="88"/>
      <c r="B662" s="88"/>
      <c r="C662" s="88"/>
      <c r="D662" s="88"/>
      <c r="E662" s="88"/>
    </row>
    <row r="663">
      <c r="A663" s="88"/>
      <c r="B663" s="88"/>
      <c r="C663" s="88"/>
      <c r="D663" s="88"/>
      <c r="E663" s="88"/>
    </row>
    <row r="664">
      <c r="A664" s="88"/>
      <c r="B664" s="88"/>
      <c r="C664" s="88"/>
      <c r="D664" s="88"/>
      <c r="E664" s="88"/>
    </row>
    <row r="665">
      <c r="A665" s="88"/>
      <c r="B665" s="88"/>
      <c r="C665" s="88"/>
      <c r="D665" s="88"/>
      <c r="E665" s="88"/>
    </row>
    <row r="666">
      <c r="A666" s="88"/>
      <c r="B666" s="88"/>
      <c r="C666" s="88"/>
      <c r="D666" s="88"/>
      <c r="E666" s="88"/>
    </row>
    <row r="667">
      <c r="A667" s="88"/>
      <c r="B667" s="88"/>
      <c r="C667" s="88"/>
      <c r="D667" s="88"/>
      <c r="E667" s="88"/>
    </row>
    <row r="668">
      <c r="A668" s="88"/>
      <c r="B668" s="88"/>
      <c r="C668" s="88"/>
      <c r="D668" s="88"/>
      <c r="E668" s="88"/>
    </row>
    <row r="669">
      <c r="A669" s="88"/>
      <c r="B669" s="88"/>
      <c r="C669" s="88"/>
      <c r="D669" s="88"/>
      <c r="E669" s="88"/>
    </row>
    <row r="670">
      <c r="A670" s="88"/>
      <c r="B670" s="88"/>
      <c r="C670" s="88"/>
      <c r="D670" s="88"/>
      <c r="E670" s="88"/>
    </row>
    <row r="671">
      <c r="A671" s="88"/>
      <c r="B671" s="88"/>
      <c r="C671" s="88"/>
      <c r="D671" s="88"/>
      <c r="E671" s="88"/>
    </row>
    <row r="672">
      <c r="A672" s="88"/>
      <c r="B672" s="88"/>
      <c r="C672" s="88"/>
      <c r="D672" s="88"/>
      <c r="E672" s="88"/>
    </row>
    <row r="673">
      <c r="A673" s="88"/>
      <c r="B673" s="88"/>
      <c r="C673" s="88"/>
      <c r="D673" s="88"/>
      <c r="E673" s="88"/>
    </row>
    <row r="674">
      <c r="A674" s="88"/>
      <c r="B674" s="88"/>
      <c r="C674" s="88"/>
      <c r="D674" s="88"/>
      <c r="E674" s="88"/>
    </row>
    <row r="675">
      <c r="A675" s="88"/>
      <c r="B675" s="88"/>
      <c r="C675" s="88"/>
      <c r="D675" s="88"/>
      <c r="E675" s="88"/>
    </row>
    <row r="676">
      <c r="A676" s="88"/>
      <c r="B676" s="88"/>
      <c r="C676" s="88"/>
      <c r="D676" s="88"/>
      <c r="E676" s="88"/>
    </row>
    <row r="677">
      <c r="A677" s="88"/>
      <c r="B677" s="88"/>
      <c r="C677" s="88"/>
      <c r="D677" s="88"/>
      <c r="E677" s="88"/>
    </row>
    <row r="678">
      <c r="A678" s="88"/>
      <c r="B678" s="88"/>
      <c r="C678" s="88"/>
      <c r="D678" s="88"/>
      <c r="E678" s="88"/>
    </row>
    <row r="679">
      <c r="A679" s="88"/>
      <c r="B679" s="88"/>
      <c r="C679" s="88"/>
      <c r="D679" s="88"/>
      <c r="E679" s="88"/>
    </row>
    <row r="680">
      <c r="A680" s="88"/>
      <c r="B680" s="88"/>
      <c r="C680" s="88"/>
      <c r="D680" s="88"/>
      <c r="E680" s="88"/>
    </row>
    <row r="681">
      <c r="A681" s="88"/>
      <c r="B681" s="88"/>
      <c r="C681" s="88"/>
      <c r="D681" s="88"/>
      <c r="E681" s="88"/>
    </row>
    <row r="682">
      <c r="A682" s="88"/>
      <c r="B682" s="88"/>
      <c r="C682" s="88"/>
      <c r="D682" s="88"/>
      <c r="E682" s="88"/>
    </row>
    <row r="683">
      <c r="A683" s="88"/>
      <c r="B683" s="88"/>
      <c r="C683" s="88"/>
      <c r="D683" s="88"/>
      <c r="E683" s="88"/>
    </row>
    <row r="684">
      <c r="A684" s="88"/>
      <c r="B684" s="88"/>
      <c r="C684" s="88"/>
      <c r="D684" s="88"/>
      <c r="E684" s="88"/>
    </row>
    <row r="685">
      <c r="A685" s="88"/>
      <c r="B685" s="88"/>
      <c r="C685" s="88"/>
      <c r="D685" s="88"/>
      <c r="E685" s="88"/>
    </row>
    <row r="686">
      <c r="A686" s="88"/>
      <c r="B686" s="88"/>
      <c r="C686" s="88"/>
      <c r="D686" s="88"/>
      <c r="E686" s="88"/>
    </row>
    <row r="687">
      <c r="A687" s="88"/>
      <c r="B687" s="88"/>
      <c r="C687" s="88"/>
      <c r="D687" s="88"/>
      <c r="E687" s="88"/>
    </row>
    <row r="688">
      <c r="A688" s="88"/>
      <c r="B688" s="88"/>
      <c r="C688" s="88"/>
      <c r="D688" s="88"/>
      <c r="E688" s="88"/>
    </row>
    <row r="689">
      <c r="A689" s="88"/>
      <c r="B689" s="88"/>
      <c r="C689" s="88"/>
      <c r="D689" s="88"/>
      <c r="E689" s="88"/>
    </row>
    <row r="690">
      <c r="A690" s="88"/>
      <c r="B690" s="88"/>
      <c r="C690" s="88"/>
      <c r="D690" s="88"/>
      <c r="E690" s="88"/>
    </row>
    <row r="691">
      <c r="A691" s="88"/>
      <c r="B691" s="88"/>
      <c r="C691" s="88"/>
      <c r="D691" s="88"/>
      <c r="E691" s="88"/>
    </row>
    <row r="692">
      <c r="A692" s="88"/>
      <c r="B692" s="88"/>
      <c r="C692" s="88"/>
      <c r="D692" s="88"/>
      <c r="E692" s="88"/>
    </row>
    <row r="693">
      <c r="A693" s="88"/>
      <c r="B693" s="88"/>
      <c r="C693" s="88"/>
      <c r="D693" s="88"/>
      <c r="E693" s="88"/>
    </row>
    <row r="694">
      <c r="A694" s="88"/>
      <c r="B694" s="88"/>
      <c r="C694" s="88"/>
      <c r="D694" s="88"/>
      <c r="E694" s="88"/>
    </row>
    <row r="695">
      <c r="A695" s="88"/>
      <c r="B695" s="88"/>
      <c r="C695" s="88"/>
      <c r="D695" s="88"/>
      <c r="E695" s="88"/>
    </row>
    <row r="696">
      <c r="A696" s="88"/>
      <c r="B696" s="88"/>
      <c r="C696" s="88"/>
      <c r="D696" s="88"/>
      <c r="E696" s="88"/>
    </row>
    <row r="697">
      <c r="A697" s="88"/>
      <c r="B697" s="88"/>
      <c r="C697" s="88"/>
      <c r="D697" s="88"/>
      <c r="E697" s="88"/>
    </row>
    <row r="698">
      <c r="A698" s="88"/>
      <c r="B698" s="88"/>
      <c r="C698" s="88"/>
      <c r="D698" s="88"/>
      <c r="E698" s="88"/>
    </row>
    <row r="699">
      <c r="A699" s="88"/>
      <c r="B699" s="88"/>
      <c r="C699" s="88"/>
      <c r="D699" s="88"/>
      <c r="E699" s="88"/>
    </row>
    <row r="700">
      <c r="A700" s="88"/>
      <c r="B700" s="88"/>
      <c r="C700" s="88"/>
      <c r="D700" s="88"/>
      <c r="E700" s="88"/>
    </row>
    <row r="701">
      <c r="A701" s="88"/>
      <c r="B701" s="88"/>
      <c r="C701" s="88"/>
      <c r="D701" s="88"/>
      <c r="E701" s="88"/>
    </row>
    <row r="702">
      <c r="A702" s="88"/>
      <c r="B702" s="88"/>
      <c r="C702" s="88"/>
      <c r="D702" s="88"/>
      <c r="E702" s="88"/>
    </row>
    <row r="703">
      <c r="A703" s="88"/>
      <c r="B703" s="88"/>
      <c r="C703" s="88"/>
      <c r="D703" s="88"/>
      <c r="E703" s="88"/>
    </row>
    <row r="704">
      <c r="A704" s="88"/>
      <c r="B704" s="88"/>
      <c r="C704" s="88"/>
      <c r="D704" s="88"/>
      <c r="E704" s="88"/>
    </row>
    <row r="705">
      <c r="A705" s="88"/>
      <c r="B705" s="88"/>
      <c r="C705" s="88"/>
      <c r="D705" s="88"/>
      <c r="E705" s="88"/>
    </row>
    <row r="706">
      <c r="A706" s="88"/>
      <c r="B706" s="88"/>
      <c r="C706" s="88"/>
      <c r="D706" s="88"/>
      <c r="E706" s="88"/>
    </row>
    <row r="707">
      <c r="A707" s="88"/>
      <c r="B707" s="88"/>
      <c r="C707" s="88"/>
      <c r="D707" s="88"/>
      <c r="E707" s="88"/>
    </row>
    <row r="708">
      <c r="A708" s="88"/>
      <c r="B708" s="88"/>
      <c r="C708" s="88"/>
      <c r="D708" s="88"/>
      <c r="E708" s="88"/>
    </row>
    <row r="709">
      <c r="A709" s="88"/>
      <c r="B709" s="88"/>
      <c r="C709" s="88"/>
      <c r="D709" s="88"/>
      <c r="E709" s="88"/>
    </row>
    <row r="710">
      <c r="A710" s="88"/>
      <c r="B710" s="88"/>
      <c r="C710" s="88"/>
      <c r="D710" s="88"/>
      <c r="E710" s="88"/>
    </row>
    <row r="711">
      <c r="A711" s="88"/>
      <c r="B711" s="88"/>
      <c r="C711" s="88"/>
      <c r="D711" s="88"/>
      <c r="E711" s="88"/>
    </row>
    <row r="712">
      <c r="A712" s="88"/>
      <c r="B712" s="88"/>
      <c r="C712" s="88"/>
      <c r="D712" s="88"/>
      <c r="E712" s="88"/>
    </row>
    <row r="713">
      <c r="A713" s="88"/>
      <c r="B713" s="88"/>
      <c r="C713" s="88"/>
      <c r="D713" s="88"/>
      <c r="E713" s="88"/>
    </row>
    <row r="714">
      <c r="A714" s="88"/>
      <c r="B714" s="88"/>
      <c r="C714" s="88"/>
      <c r="D714" s="88"/>
      <c r="E714" s="88"/>
    </row>
    <row r="715">
      <c r="A715" s="88"/>
      <c r="B715" s="88"/>
      <c r="C715" s="88"/>
      <c r="D715" s="88"/>
      <c r="E715" s="88"/>
    </row>
    <row r="716">
      <c r="A716" s="88"/>
      <c r="B716" s="88"/>
      <c r="C716" s="88"/>
      <c r="D716" s="88"/>
      <c r="E716" s="88"/>
    </row>
    <row r="717">
      <c r="A717" s="88"/>
      <c r="B717" s="88"/>
      <c r="C717" s="88"/>
      <c r="D717" s="88"/>
      <c r="E717" s="88"/>
    </row>
    <row r="718">
      <c r="A718" s="88"/>
      <c r="B718" s="88"/>
      <c r="C718" s="88"/>
      <c r="D718" s="88"/>
      <c r="E718" s="88"/>
    </row>
    <row r="719">
      <c r="A719" s="88"/>
      <c r="B719" s="88"/>
      <c r="C719" s="88"/>
      <c r="D719" s="88"/>
      <c r="E719" s="88"/>
    </row>
    <row r="720">
      <c r="A720" s="88"/>
      <c r="B720" s="88"/>
      <c r="C720" s="88"/>
      <c r="D720" s="88"/>
      <c r="E720" s="88"/>
    </row>
    <row r="721">
      <c r="A721" s="88"/>
      <c r="B721" s="88"/>
      <c r="C721" s="88"/>
      <c r="D721" s="88"/>
      <c r="E721" s="88"/>
    </row>
    <row r="722">
      <c r="A722" s="88"/>
      <c r="B722" s="88"/>
      <c r="C722" s="88"/>
      <c r="D722" s="88"/>
      <c r="E722" s="88"/>
    </row>
    <row r="723">
      <c r="A723" s="88"/>
      <c r="B723" s="88"/>
      <c r="C723" s="88"/>
      <c r="D723" s="88"/>
      <c r="E723" s="88"/>
    </row>
    <row r="724">
      <c r="A724" s="88"/>
      <c r="B724" s="88"/>
      <c r="C724" s="88"/>
      <c r="D724" s="88"/>
      <c r="E724" s="88"/>
    </row>
    <row r="725">
      <c r="A725" s="88"/>
      <c r="B725" s="88"/>
      <c r="C725" s="88"/>
      <c r="D725" s="88"/>
      <c r="E725" s="88"/>
    </row>
    <row r="726">
      <c r="A726" s="88"/>
      <c r="B726" s="88"/>
      <c r="C726" s="88"/>
      <c r="D726" s="88"/>
      <c r="E726" s="88"/>
    </row>
    <row r="727">
      <c r="A727" s="88"/>
      <c r="B727" s="88"/>
      <c r="C727" s="88"/>
      <c r="D727" s="88"/>
      <c r="E727" s="88"/>
    </row>
    <row r="728">
      <c r="A728" s="88"/>
      <c r="B728" s="88"/>
      <c r="C728" s="88"/>
      <c r="D728" s="88"/>
      <c r="E728" s="88"/>
    </row>
    <row r="729">
      <c r="A729" s="88"/>
      <c r="B729" s="88"/>
      <c r="C729" s="88"/>
      <c r="D729" s="88"/>
      <c r="E729" s="88"/>
    </row>
    <row r="730">
      <c r="A730" s="88"/>
      <c r="B730" s="88"/>
      <c r="C730" s="88"/>
      <c r="D730" s="88"/>
      <c r="E730" s="88"/>
    </row>
    <row r="731">
      <c r="A731" s="88"/>
      <c r="B731" s="88"/>
      <c r="C731" s="88"/>
      <c r="D731" s="88"/>
      <c r="E731" s="88"/>
    </row>
    <row r="732">
      <c r="A732" s="88"/>
      <c r="B732" s="88"/>
      <c r="C732" s="88"/>
      <c r="D732" s="88"/>
      <c r="E732" s="88"/>
    </row>
    <row r="733">
      <c r="A733" s="88"/>
      <c r="B733" s="88"/>
      <c r="C733" s="88"/>
      <c r="D733" s="88"/>
      <c r="E733" s="88"/>
    </row>
    <row r="734">
      <c r="A734" s="88"/>
      <c r="B734" s="88"/>
      <c r="C734" s="88"/>
      <c r="D734" s="88"/>
      <c r="E734" s="88"/>
    </row>
    <row r="735">
      <c r="A735" s="88"/>
      <c r="B735" s="88"/>
      <c r="C735" s="88"/>
      <c r="D735" s="88"/>
      <c r="E735" s="88"/>
    </row>
    <row r="736">
      <c r="A736" s="88"/>
      <c r="B736" s="88"/>
      <c r="C736" s="88"/>
      <c r="D736" s="88"/>
      <c r="E736" s="88"/>
    </row>
    <row r="737">
      <c r="A737" s="88"/>
      <c r="B737" s="88"/>
      <c r="C737" s="88"/>
      <c r="D737" s="88"/>
      <c r="E737" s="88"/>
    </row>
    <row r="738">
      <c r="A738" s="88"/>
      <c r="B738" s="88"/>
      <c r="C738" s="88"/>
      <c r="D738" s="88"/>
      <c r="E738" s="88"/>
    </row>
    <row r="739">
      <c r="A739" s="88"/>
      <c r="B739" s="88"/>
      <c r="C739" s="88"/>
      <c r="D739" s="88"/>
      <c r="E739" s="88"/>
    </row>
    <row r="740">
      <c r="A740" s="88"/>
      <c r="B740" s="88"/>
      <c r="C740" s="88"/>
      <c r="D740" s="88"/>
      <c r="E740" s="88"/>
    </row>
    <row r="741">
      <c r="A741" s="88"/>
      <c r="B741" s="88"/>
      <c r="C741" s="88"/>
      <c r="D741" s="88"/>
      <c r="E741" s="88"/>
    </row>
    <row r="742">
      <c r="A742" s="88"/>
      <c r="B742" s="88"/>
      <c r="C742" s="88"/>
      <c r="D742" s="88"/>
      <c r="E742" s="88"/>
    </row>
    <row r="743">
      <c r="A743" s="88"/>
      <c r="B743" s="88"/>
      <c r="C743" s="88"/>
      <c r="D743" s="88"/>
      <c r="E743" s="88"/>
    </row>
    <row r="744">
      <c r="A744" s="88"/>
      <c r="B744" s="88"/>
      <c r="C744" s="88"/>
      <c r="D744" s="88"/>
      <c r="E744" s="88"/>
    </row>
    <row r="745">
      <c r="A745" s="88"/>
      <c r="B745" s="88"/>
      <c r="C745" s="88"/>
      <c r="D745" s="88"/>
      <c r="E745" s="88"/>
    </row>
    <row r="746">
      <c r="A746" s="88"/>
      <c r="B746" s="88"/>
      <c r="C746" s="88"/>
      <c r="D746" s="88"/>
      <c r="E746" s="88"/>
    </row>
    <row r="747">
      <c r="A747" s="88"/>
      <c r="B747" s="88"/>
      <c r="C747" s="88"/>
      <c r="D747" s="88"/>
      <c r="E747" s="88"/>
    </row>
    <row r="748">
      <c r="A748" s="88"/>
      <c r="B748" s="88"/>
      <c r="C748" s="88"/>
      <c r="D748" s="88"/>
      <c r="E748" s="88"/>
    </row>
    <row r="749">
      <c r="A749" s="88"/>
      <c r="B749" s="88"/>
      <c r="C749" s="88"/>
      <c r="D749" s="88"/>
      <c r="E749" s="88"/>
    </row>
    <row r="750">
      <c r="A750" s="88"/>
      <c r="B750" s="88"/>
      <c r="C750" s="88"/>
      <c r="D750" s="88"/>
      <c r="E750" s="88"/>
    </row>
    <row r="751">
      <c r="A751" s="88"/>
      <c r="B751" s="88"/>
      <c r="C751" s="88"/>
      <c r="D751" s="88"/>
      <c r="E751" s="88"/>
    </row>
    <row r="752">
      <c r="A752" s="88"/>
      <c r="B752" s="88"/>
      <c r="C752" s="88"/>
      <c r="D752" s="88"/>
      <c r="E752" s="88"/>
    </row>
    <row r="753">
      <c r="A753" s="88"/>
      <c r="B753" s="88"/>
      <c r="C753" s="88"/>
      <c r="D753" s="88"/>
      <c r="E753" s="88"/>
    </row>
    <row r="754">
      <c r="A754" s="88"/>
      <c r="B754" s="88"/>
      <c r="C754" s="88"/>
      <c r="D754" s="88"/>
      <c r="E754" s="88"/>
    </row>
    <row r="755">
      <c r="A755" s="88"/>
      <c r="B755" s="88"/>
      <c r="C755" s="88"/>
      <c r="D755" s="88"/>
      <c r="E755" s="88"/>
    </row>
    <row r="756">
      <c r="A756" s="88"/>
      <c r="B756" s="88"/>
      <c r="C756" s="88"/>
      <c r="D756" s="88"/>
      <c r="E756" s="88"/>
    </row>
    <row r="757">
      <c r="A757" s="88"/>
      <c r="B757" s="88"/>
      <c r="C757" s="88"/>
      <c r="D757" s="88"/>
      <c r="E757" s="88"/>
    </row>
    <row r="758">
      <c r="A758" s="88"/>
      <c r="B758" s="88"/>
      <c r="C758" s="88"/>
      <c r="D758" s="88"/>
      <c r="E758" s="88"/>
    </row>
    <row r="759">
      <c r="A759" s="88"/>
      <c r="B759" s="88"/>
      <c r="C759" s="88"/>
      <c r="D759" s="88"/>
      <c r="E759" s="88"/>
    </row>
    <row r="760">
      <c r="A760" s="88"/>
      <c r="B760" s="88"/>
      <c r="C760" s="88"/>
      <c r="D760" s="88"/>
      <c r="E760" s="88"/>
    </row>
    <row r="761">
      <c r="A761" s="88"/>
      <c r="B761" s="88"/>
      <c r="C761" s="88"/>
      <c r="D761" s="88"/>
      <c r="E761" s="88"/>
    </row>
    <row r="762">
      <c r="A762" s="88"/>
      <c r="B762" s="88"/>
      <c r="C762" s="88"/>
      <c r="D762" s="88"/>
      <c r="E762" s="88"/>
    </row>
    <row r="763">
      <c r="A763" s="88"/>
      <c r="B763" s="88"/>
      <c r="C763" s="88"/>
      <c r="D763" s="88"/>
      <c r="E763" s="88"/>
    </row>
    <row r="764">
      <c r="A764" s="88"/>
      <c r="B764" s="88"/>
      <c r="C764" s="88"/>
      <c r="D764" s="88"/>
      <c r="E764" s="88"/>
    </row>
    <row r="765">
      <c r="A765" s="88"/>
      <c r="B765" s="88"/>
      <c r="C765" s="88"/>
      <c r="D765" s="88"/>
      <c r="E765" s="88"/>
    </row>
    <row r="766">
      <c r="A766" s="88"/>
      <c r="B766" s="88"/>
      <c r="C766" s="88"/>
      <c r="D766" s="88"/>
      <c r="E766" s="88"/>
    </row>
    <row r="767">
      <c r="A767" s="88"/>
      <c r="B767" s="88"/>
      <c r="C767" s="88"/>
      <c r="D767" s="88"/>
      <c r="E767" s="88"/>
    </row>
    <row r="768">
      <c r="A768" s="88"/>
      <c r="B768" s="88"/>
      <c r="C768" s="88"/>
      <c r="D768" s="88"/>
      <c r="E768" s="88"/>
    </row>
    <row r="769">
      <c r="A769" s="88"/>
      <c r="B769" s="88"/>
      <c r="C769" s="88"/>
      <c r="D769" s="88"/>
      <c r="E769" s="88"/>
    </row>
    <row r="770">
      <c r="A770" s="88"/>
      <c r="B770" s="88"/>
      <c r="C770" s="88"/>
      <c r="D770" s="88"/>
      <c r="E770" s="88"/>
    </row>
    <row r="771">
      <c r="A771" s="88"/>
      <c r="B771" s="88"/>
      <c r="C771" s="88"/>
      <c r="D771" s="88"/>
      <c r="E771" s="88"/>
    </row>
    <row r="772">
      <c r="A772" s="88"/>
      <c r="B772" s="88"/>
      <c r="C772" s="88"/>
      <c r="D772" s="88"/>
      <c r="E772" s="88"/>
    </row>
    <row r="773">
      <c r="A773" s="88"/>
      <c r="B773" s="88"/>
      <c r="C773" s="88"/>
      <c r="D773" s="88"/>
      <c r="E773" s="88"/>
    </row>
    <row r="774">
      <c r="A774" s="88"/>
      <c r="B774" s="88"/>
      <c r="C774" s="88"/>
      <c r="D774" s="88"/>
      <c r="E774" s="88"/>
    </row>
    <row r="775">
      <c r="A775" s="88"/>
      <c r="B775" s="88"/>
      <c r="C775" s="88"/>
      <c r="D775" s="88"/>
      <c r="E775" s="88"/>
    </row>
    <row r="776">
      <c r="A776" s="88"/>
      <c r="B776" s="88"/>
      <c r="C776" s="88"/>
      <c r="D776" s="88"/>
      <c r="E776" s="88"/>
    </row>
    <row r="777">
      <c r="A777" s="88"/>
      <c r="B777" s="88"/>
      <c r="C777" s="88"/>
      <c r="D777" s="88"/>
      <c r="E777" s="88"/>
    </row>
    <row r="778">
      <c r="A778" s="88"/>
      <c r="B778" s="88"/>
      <c r="C778" s="88"/>
      <c r="D778" s="88"/>
      <c r="E778" s="88"/>
    </row>
    <row r="779">
      <c r="A779" s="88"/>
      <c r="B779" s="88"/>
      <c r="C779" s="88"/>
      <c r="D779" s="88"/>
      <c r="E779" s="88"/>
    </row>
    <row r="780">
      <c r="A780" s="88"/>
      <c r="B780" s="88"/>
      <c r="C780" s="88"/>
      <c r="D780" s="88"/>
      <c r="E780" s="88"/>
    </row>
    <row r="781">
      <c r="A781" s="88"/>
      <c r="B781" s="88"/>
      <c r="C781" s="88"/>
      <c r="D781" s="88"/>
      <c r="E781" s="88"/>
    </row>
    <row r="782">
      <c r="A782" s="88"/>
      <c r="B782" s="88"/>
      <c r="C782" s="88"/>
      <c r="D782" s="88"/>
      <c r="E782" s="88"/>
    </row>
    <row r="783">
      <c r="A783" s="88"/>
      <c r="B783" s="88"/>
      <c r="C783" s="88"/>
      <c r="D783" s="88"/>
      <c r="E783" s="88"/>
    </row>
    <row r="784">
      <c r="A784" s="88"/>
      <c r="B784" s="88"/>
      <c r="C784" s="88"/>
      <c r="D784" s="88"/>
      <c r="E784" s="88"/>
    </row>
    <row r="785">
      <c r="A785" s="88"/>
      <c r="B785" s="88"/>
      <c r="C785" s="88"/>
      <c r="D785" s="88"/>
      <c r="E785" s="88"/>
    </row>
    <row r="786">
      <c r="A786" s="88"/>
      <c r="B786" s="88"/>
      <c r="C786" s="88"/>
      <c r="D786" s="88"/>
      <c r="E786" s="88"/>
    </row>
    <row r="787">
      <c r="A787" s="88"/>
      <c r="B787" s="88"/>
      <c r="C787" s="88"/>
      <c r="D787" s="88"/>
      <c r="E787" s="88"/>
    </row>
    <row r="788">
      <c r="A788" s="88"/>
      <c r="B788" s="88"/>
      <c r="C788" s="88"/>
      <c r="D788" s="88"/>
      <c r="E788" s="88"/>
    </row>
    <row r="789">
      <c r="A789" s="88"/>
      <c r="B789" s="88"/>
      <c r="C789" s="88"/>
      <c r="D789" s="88"/>
      <c r="E789" s="88"/>
    </row>
    <row r="790">
      <c r="A790" s="88"/>
      <c r="B790" s="88"/>
      <c r="C790" s="88"/>
      <c r="D790" s="88"/>
      <c r="E790" s="88"/>
    </row>
    <row r="791">
      <c r="A791" s="88"/>
      <c r="B791" s="88"/>
      <c r="C791" s="88"/>
      <c r="D791" s="88"/>
      <c r="E791" s="88"/>
    </row>
    <row r="792">
      <c r="A792" s="88"/>
      <c r="B792" s="88"/>
      <c r="C792" s="88"/>
      <c r="D792" s="88"/>
      <c r="E792" s="88"/>
    </row>
    <row r="793">
      <c r="A793" s="88"/>
      <c r="B793" s="88"/>
      <c r="C793" s="88"/>
      <c r="D793" s="88"/>
      <c r="E793" s="88"/>
    </row>
    <row r="794">
      <c r="A794" s="88"/>
      <c r="B794" s="88"/>
      <c r="C794" s="88"/>
      <c r="D794" s="88"/>
      <c r="E794" s="88"/>
    </row>
    <row r="795">
      <c r="A795" s="88"/>
      <c r="B795" s="88"/>
      <c r="C795" s="88"/>
      <c r="D795" s="88"/>
      <c r="E795" s="88"/>
    </row>
    <row r="796">
      <c r="A796" s="88"/>
      <c r="B796" s="88"/>
      <c r="C796" s="88"/>
      <c r="D796" s="88"/>
      <c r="E796" s="88"/>
    </row>
    <row r="797">
      <c r="A797" s="88"/>
      <c r="B797" s="88"/>
      <c r="C797" s="88"/>
      <c r="D797" s="88"/>
      <c r="E797" s="88"/>
    </row>
    <row r="798">
      <c r="A798" s="88"/>
      <c r="B798" s="88"/>
      <c r="C798" s="88"/>
      <c r="D798" s="88"/>
      <c r="E798" s="88"/>
    </row>
    <row r="799">
      <c r="A799" s="88"/>
      <c r="B799" s="88"/>
      <c r="C799" s="88"/>
      <c r="D799" s="88"/>
      <c r="E799" s="88"/>
    </row>
    <row r="800">
      <c r="A800" s="88"/>
      <c r="B800" s="88"/>
      <c r="C800" s="88"/>
      <c r="D800" s="88"/>
      <c r="E800" s="88"/>
    </row>
    <row r="801">
      <c r="A801" s="88"/>
      <c r="B801" s="88"/>
      <c r="C801" s="88"/>
      <c r="D801" s="88"/>
      <c r="E801" s="88"/>
    </row>
    <row r="802">
      <c r="A802" s="88"/>
      <c r="B802" s="88"/>
      <c r="C802" s="88"/>
      <c r="D802" s="88"/>
      <c r="E802" s="88"/>
    </row>
    <row r="803">
      <c r="A803" s="88"/>
      <c r="B803" s="88"/>
      <c r="C803" s="88"/>
      <c r="D803" s="88"/>
      <c r="E803" s="88"/>
    </row>
    <row r="804">
      <c r="A804" s="88"/>
      <c r="B804" s="88"/>
      <c r="C804" s="88"/>
      <c r="D804" s="88"/>
      <c r="E804" s="88"/>
    </row>
    <row r="805">
      <c r="A805" s="88"/>
      <c r="B805" s="88"/>
      <c r="C805" s="88"/>
      <c r="D805" s="88"/>
      <c r="E805" s="88"/>
    </row>
    <row r="806">
      <c r="A806" s="88"/>
      <c r="B806" s="88"/>
      <c r="C806" s="88"/>
      <c r="D806" s="88"/>
      <c r="E806" s="88"/>
    </row>
    <row r="807">
      <c r="A807" s="88"/>
      <c r="B807" s="88"/>
      <c r="C807" s="88"/>
      <c r="D807" s="88"/>
      <c r="E807" s="88"/>
    </row>
    <row r="808">
      <c r="A808" s="88"/>
      <c r="B808" s="88"/>
      <c r="C808" s="88"/>
      <c r="D808" s="88"/>
      <c r="E808" s="88"/>
    </row>
    <row r="809">
      <c r="A809" s="88"/>
      <c r="B809" s="88"/>
      <c r="C809" s="88"/>
      <c r="D809" s="88"/>
      <c r="E809" s="88"/>
    </row>
    <row r="810">
      <c r="A810" s="88"/>
      <c r="B810" s="88"/>
      <c r="C810" s="88"/>
      <c r="D810" s="88"/>
      <c r="E810" s="88"/>
    </row>
    <row r="811">
      <c r="A811" s="88"/>
      <c r="B811" s="88"/>
      <c r="C811" s="88"/>
      <c r="D811" s="88"/>
      <c r="E811" s="88"/>
    </row>
    <row r="812">
      <c r="A812" s="88"/>
      <c r="B812" s="88"/>
      <c r="C812" s="88"/>
      <c r="D812" s="88"/>
      <c r="E812" s="88"/>
    </row>
    <row r="813">
      <c r="A813" s="88"/>
      <c r="B813" s="88"/>
      <c r="C813" s="88"/>
      <c r="D813" s="88"/>
      <c r="E813" s="88"/>
    </row>
    <row r="814">
      <c r="A814" s="88"/>
      <c r="B814" s="88"/>
      <c r="C814" s="88"/>
      <c r="D814" s="88"/>
      <c r="E814" s="88"/>
    </row>
    <row r="815">
      <c r="A815" s="88"/>
      <c r="B815" s="88"/>
      <c r="C815" s="88"/>
      <c r="D815" s="88"/>
      <c r="E815" s="88"/>
    </row>
    <row r="816">
      <c r="A816" s="88"/>
      <c r="B816" s="88"/>
      <c r="C816" s="88"/>
      <c r="D816" s="88"/>
      <c r="E816" s="88"/>
    </row>
    <row r="817">
      <c r="A817" s="88"/>
      <c r="B817" s="88"/>
      <c r="C817" s="88"/>
      <c r="D817" s="88"/>
      <c r="E817" s="88"/>
    </row>
    <row r="818">
      <c r="A818" s="88"/>
      <c r="B818" s="88"/>
      <c r="C818" s="88"/>
      <c r="D818" s="88"/>
      <c r="E818" s="88"/>
    </row>
    <row r="819">
      <c r="A819" s="88"/>
      <c r="B819" s="88"/>
      <c r="C819" s="88"/>
      <c r="D819" s="88"/>
      <c r="E819" s="88"/>
    </row>
    <row r="820">
      <c r="A820" s="88"/>
      <c r="B820" s="88"/>
      <c r="C820" s="88"/>
      <c r="D820" s="88"/>
      <c r="E820" s="88"/>
    </row>
    <row r="821">
      <c r="A821" s="88"/>
      <c r="B821" s="88"/>
      <c r="C821" s="88"/>
      <c r="D821" s="88"/>
      <c r="E821" s="88"/>
    </row>
    <row r="822">
      <c r="A822" s="88"/>
      <c r="B822" s="88"/>
      <c r="C822" s="88"/>
      <c r="D822" s="88"/>
      <c r="E822" s="88"/>
    </row>
    <row r="823">
      <c r="A823" s="88"/>
      <c r="B823" s="88"/>
      <c r="C823" s="88"/>
      <c r="D823" s="88"/>
      <c r="E823" s="88"/>
    </row>
    <row r="824">
      <c r="A824" s="88"/>
      <c r="B824" s="88"/>
      <c r="C824" s="88"/>
      <c r="D824" s="88"/>
      <c r="E824" s="88"/>
    </row>
    <row r="825">
      <c r="A825" s="88"/>
      <c r="B825" s="88"/>
      <c r="C825" s="88"/>
      <c r="D825" s="88"/>
      <c r="E825" s="88"/>
    </row>
    <row r="826">
      <c r="A826" s="88"/>
      <c r="B826" s="88"/>
      <c r="C826" s="88"/>
      <c r="D826" s="88"/>
      <c r="E826" s="88"/>
    </row>
    <row r="827">
      <c r="A827" s="88"/>
      <c r="B827" s="88"/>
      <c r="C827" s="88"/>
      <c r="D827" s="88"/>
      <c r="E827" s="88"/>
    </row>
    <row r="828">
      <c r="A828" s="88"/>
      <c r="B828" s="88"/>
      <c r="C828" s="88"/>
      <c r="D828" s="88"/>
      <c r="E828" s="88"/>
    </row>
    <row r="829">
      <c r="A829" s="88"/>
      <c r="B829" s="88"/>
      <c r="C829" s="88"/>
      <c r="D829" s="88"/>
      <c r="E829" s="88"/>
    </row>
    <row r="830">
      <c r="A830" s="88"/>
      <c r="B830" s="88"/>
      <c r="C830" s="88"/>
      <c r="D830" s="88"/>
      <c r="E830" s="88"/>
    </row>
    <row r="831">
      <c r="A831" s="88"/>
      <c r="B831" s="88"/>
      <c r="C831" s="88"/>
      <c r="D831" s="88"/>
      <c r="E831" s="88"/>
    </row>
    <row r="832">
      <c r="A832" s="88"/>
      <c r="B832" s="88"/>
      <c r="C832" s="88"/>
      <c r="D832" s="88"/>
      <c r="E832" s="88"/>
    </row>
    <row r="833">
      <c r="A833" s="88"/>
      <c r="B833" s="88"/>
      <c r="C833" s="88"/>
      <c r="D833" s="88"/>
      <c r="E833" s="88"/>
    </row>
    <row r="834">
      <c r="A834" s="88"/>
      <c r="B834" s="88"/>
      <c r="C834" s="88"/>
      <c r="D834" s="88"/>
      <c r="E834" s="88"/>
    </row>
    <row r="835">
      <c r="A835" s="88"/>
      <c r="B835" s="88"/>
      <c r="C835" s="88"/>
      <c r="D835" s="88"/>
      <c r="E835" s="88"/>
    </row>
    <row r="836">
      <c r="A836" s="88"/>
      <c r="B836" s="88"/>
      <c r="C836" s="88"/>
      <c r="D836" s="88"/>
      <c r="E836" s="88"/>
    </row>
    <row r="837">
      <c r="A837" s="88"/>
      <c r="B837" s="88"/>
      <c r="C837" s="88"/>
      <c r="D837" s="88"/>
      <c r="E837" s="88"/>
    </row>
    <row r="838">
      <c r="A838" s="88"/>
      <c r="B838" s="88"/>
      <c r="C838" s="88"/>
      <c r="D838" s="88"/>
      <c r="E838" s="88"/>
    </row>
    <row r="839">
      <c r="A839" s="88"/>
      <c r="B839" s="88"/>
      <c r="C839" s="88"/>
      <c r="D839" s="88"/>
      <c r="E839" s="88"/>
    </row>
    <row r="840">
      <c r="A840" s="88"/>
      <c r="B840" s="88"/>
      <c r="C840" s="88"/>
      <c r="D840" s="88"/>
      <c r="E840" s="88"/>
    </row>
    <row r="841">
      <c r="A841" s="88"/>
      <c r="B841" s="88"/>
      <c r="C841" s="88"/>
      <c r="D841" s="88"/>
      <c r="E841" s="88"/>
    </row>
    <row r="842">
      <c r="A842" s="88"/>
      <c r="B842" s="88"/>
      <c r="C842" s="88"/>
      <c r="D842" s="88"/>
      <c r="E842" s="88"/>
    </row>
    <row r="843">
      <c r="A843" s="88"/>
      <c r="B843" s="88"/>
      <c r="C843" s="88"/>
      <c r="D843" s="88"/>
      <c r="E843" s="88"/>
    </row>
    <row r="844">
      <c r="A844" s="88"/>
      <c r="B844" s="88"/>
      <c r="C844" s="88"/>
      <c r="D844" s="88"/>
      <c r="E844" s="88"/>
    </row>
    <row r="845">
      <c r="A845" s="88"/>
      <c r="B845" s="88"/>
      <c r="C845" s="88"/>
      <c r="D845" s="88"/>
      <c r="E845" s="88"/>
    </row>
    <row r="846">
      <c r="A846" s="88"/>
      <c r="B846" s="88"/>
      <c r="C846" s="88"/>
      <c r="D846" s="88"/>
      <c r="E846" s="88"/>
    </row>
    <row r="847">
      <c r="A847" s="88"/>
      <c r="B847" s="88"/>
      <c r="C847" s="88"/>
      <c r="D847" s="88"/>
      <c r="E847" s="88"/>
    </row>
    <row r="848">
      <c r="A848" s="88"/>
      <c r="B848" s="88"/>
      <c r="C848" s="88"/>
      <c r="D848" s="88"/>
      <c r="E848" s="88"/>
    </row>
    <row r="849">
      <c r="A849" s="88"/>
      <c r="B849" s="88"/>
      <c r="C849" s="88"/>
      <c r="D849" s="88"/>
      <c r="E849" s="88"/>
    </row>
    <row r="850">
      <c r="A850" s="88"/>
      <c r="B850" s="88"/>
      <c r="C850" s="88"/>
      <c r="D850" s="88"/>
      <c r="E850" s="88"/>
    </row>
    <row r="851">
      <c r="A851" s="88"/>
      <c r="B851" s="88"/>
      <c r="C851" s="88"/>
      <c r="D851" s="88"/>
      <c r="E851" s="88"/>
    </row>
    <row r="852">
      <c r="A852" s="88"/>
      <c r="B852" s="88"/>
      <c r="C852" s="88"/>
      <c r="D852" s="88"/>
      <c r="E852" s="88"/>
    </row>
    <row r="853">
      <c r="A853" s="88"/>
      <c r="B853" s="88"/>
      <c r="C853" s="88"/>
      <c r="D853" s="88"/>
      <c r="E853" s="88"/>
    </row>
    <row r="854">
      <c r="A854" s="88"/>
      <c r="B854" s="88"/>
      <c r="C854" s="88"/>
      <c r="D854" s="88"/>
      <c r="E854" s="88"/>
    </row>
    <row r="855">
      <c r="A855" s="88"/>
      <c r="B855" s="88"/>
      <c r="C855" s="88"/>
      <c r="D855" s="88"/>
      <c r="E855" s="88"/>
    </row>
    <row r="856">
      <c r="A856" s="88"/>
      <c r="B856" s="88"/>
      <c r="C856" s="88"/>
      <c r="D856" s="88"/>
      <c r="E856" s="88"/>
    </row>
    <row r="857">
      <c r="A857" s="88"/>
      <c r="B857" s="88"/>
      <c r="C857" s="88"/>
      <c r="D857" s="88"/>
      <c r="E857" s="88"/>
    </row>
    <row r="858">
      <c r="A858" s="88"/>
      <c r="B858" s="88"/>
      <c r="C858" s="88"/>
      <c r="D858" s="88"/>
      <c r="E858" s="88"/>
    </row>
    <row r="859">
      <c r="A859" s="88"/>
      <c r="B859" s="88"/>
      <c r="C859" s="88"/>
      <c r="D859" s="88"/>
      <c r="E859" s="88"/>
    </row>
    <row r="860">
      <c r="A860" s="88"/>
      <c r="B860" s="88"/>
      <c r="C860" s="88"/>
      <c r="D860" s="88"/>
      <c r="E860" s="88"/>
    </row>
    <row r="861">
      <c r="A861" s="88"/>
      <c r="B861" s="88"/>
      <c r="C861" s="88"/>
      <c r="D861" s="88"/>
      <c r="E861" s="88"/>
    </row>
    <row r="862">
      <c r="A862" s="88"/>
      <c r="B862" s="88"/>
      <c r="C862" s="88"/>
      <c r="D862" s="88"/>
      <c r="E862" s="88"/>
    </row>
    <row r="863">
      <c r="A863" s="88"/>
      <c r="B863" s="88"/>
      <c r="C863" s="88"/>
      <c r="D863" s="88"/>
      <c r="E863" s="88"/>
    </row>
    <row r="864">
      <c r="A864" s="88"/>
      <c r="B864" s="88"/>
      <c r="C864" s="88"/>
      <c r="D864" s="88"/>
      <c r="E864" s="88"/>
    </row>
    <row r="865">
      <c r="A865" s="88"/>
      <c r="B865" s="88"/>
      <c r="C865" s="88"/>
      <c r="D865" s="88"/>
      <c r="E865" s="88"/>
    </row>
    <row r="866">
      <c r="A866" s="88"/>
      <c r="B866" s="88"/>
      <c r="C866" s="88"/>
      <c r="D866" s="88"/>
      <c r="E866" s="88"/>
    </row>
    <row r="867">
      <c r="A867" s="88"/>
      <c r="B867" s="88"/>
      <c r="C867" s="88"/>
      <c r="D867" s="88"/>
      <c r="E867" s="88"/>
    </row>
    <row r="868">
      <c r="A868" s="88"/>
      <c r="B868" s="88"/>
      <c r="C868" s="88"/>
      <c r="D868" s="88"/>
      <c r="E868" s="88"/>
    </row>
    <row r="869">
      <c r="A869" s="88"/>
      <c r="B869" s="88"/>
      <c r="C869" s="88"/>
      <c r="D869" s="88"/>
      <c r="E869" s="88"/>
    </row>
    <row r="870">
      <c r="A870" s="88"/>
      <c r="B870" s="88"/>
      <c r="C870" s="88"/>
      <c r="D870" s="88"/>
      <c r="E870" s="88"/>
    </row>
    <row r="871">
      <c r="A871" s="88"/>
      <c r="B871" s="88"/>
      <c r="C871" s="88"/>
      <c r="D871" s="88"/>
      <c r="E871" s="88"/>
    </row>
    <row r="872">
      <c r="A872" s="88"/>
      <c r="B872" s="88"/>
      <c r="C872" s="88"/>
      <c r="D872" s="88"/>
      <c r="E872" s="88"/>
    </row>
    <row r="873">
      <c r="A873" s="88"/>
      <c r="B873" s="88"/>
      <c r="C873" s="88"/>
      <c r="D873" s="88"/>
      <c r="E873" s="88"/>
    </row>
    <row r="874">
      <c r="A874" s="88"/>
      <c r="B874" s="88"/>
      <c r="C874" s="88"/>
      <c r="D874" s="88"/>
      <c r="E874" s="88"/>
    </row>
    <row r="875">
      <c r="A875" s="88"/>
      <c r="B875" s="88"/>
      <c r="C875" s="88"/>
      <c r="D875" s="88"/>
      <c r="E875" s="88"/>
    </row>
    <row r="876">
      <c r="A876" s="88"/>
      <c r="B876" s="88"/>
      <c r="C876" s="88"/>
      <c r="D876" s="88"/>
      <c r="E876" s="88"/>
    </row>
    <row r="877">
      <c r="A877" s="88"/>
      <c r="B877" s="88"/>
      <c r="C877" s="88"/>
      <c r="D877" s="88"/>
      <c r="E877" s="88"/>
    </row>
    <row r="878">
      <c r="A878" s="88"/>
      <c r="B878" s="88"/>
      <c r="C878" s="88"/>
      <c r="D878" s="88"/>
      <c r="E878" s="88"/>
    </row>
    <row r="879">
      <c r="A879" s="88"/>
      <c r="B879" s="88"/>
      <c r="C879" s="88"/>
      <c r="D879" s="88"/>
      <c r="E879" s="88"/>
    </row>
    <row r="880">
      <c r="A880" s="88"/>
      <c r="B880" s="88"/>
      <c r="C880" s="88"/>
      <c r="D880" s="88"/>
      <c r="E880" s="88"/>
    </row>
    <row r="881">
      <c r="A881" s="88"/>
      <c r="B881" s="88"/>
      <c r="C881" s="88"/>
      <c r="D881" s="88"/>
      <c r="E881" s="88"/>
    </row>
    <row r="882">
      <c r="A882" s="88"/>
      <c r="B882" s="88"/>
      <c r="C882" s="88"/>
      <c r="D882" s="88"/>
      <c r="E882" s="88"/>
    </row>
    <row r="883">
      <c r="A883" s="88"/>
      <c r="B883" s="88"/>
      <c r="C883" s="88"/>
      <c r="D883" s="88"/>
      <c r="E883" s="88"/>
    </row>
    <row r="884">
      <c r="A884" s="88"/>
      <c r="B884" s="88"/>
      <c r="C884" s="88"/>
      <c r="D884" s="88"/>
      <c r="E884" s="88"/>
    </row>
    <row r="885">
      <c r="A885" s="88"/>
      <c r="B885" s="88"/>
      <c r="C885" s="88"/>
      <c r="D885" s="88"/>
      <c r="E885" s="88"/>
    </row>
    <row r="886">
      <c r="A886" s="88"/>
      <c r="B886" s="88"/>
      <c r="C886" s="88"/>
      <c r="D886" s="88"/>
      <c r="E886" s="88"/>
    </row>
    <row r="887">
      <c r="A887" s="88"/>
      <c r="B887" s="88"/>
      <c r="C887" s="88"/>
      <c r="D887" s="88"/>
      <c r="E887" s="88"/>
    </row>
    <row r="888">
      <c r="A888" s="88"/>
      <c r="B888" s="88"/>
      <c r="C888" s="88"/>
      <c r="D888" s="88"/>
      <c r="E888" s="88"/>
    </row>
    <row r="889">
      <c r="A889" s="88"/>
      <c r="B889" s="88"/>
      <c r="C889" s="88"/>
      <c r="D889" s="88"/>
      <c r="E889" s="88"/>
    </row>
    <row r="890">
      <c r="A890" s="88"/>
      <c r="B890" s="88"/>
      <c r="C890" s="88"/>
      <c r="D890" s="88"/>
      <c r="E890" s="88"/>
    </row>
    <row r="891">
      <c r="A891" s="88"/>
      <c r="B891" s="88"/>
      <c r="C891" s="88"/>
      <c r="D891" s="88"/>
      <c r="E891" s="88"/>
    </row>
    <row r="892">
      <c r="A892" s="88"/>
      <c r="B892" s="88"/>
      <c r="C892" s="88"/>
      <c r="D892" s="88"/>
      <c r="E892" s="88"/>
    </row>
    <row r="893">
      <c r="A893" s="88"/>
      <c r="B893" s="88"/>
      <c r="C893" s="88"/>
      <c r="D893" s="88"/>
      <c r="E893" s="88"/>
    </row>
    <row r="894">
      <c r="A894" s="88"/>
      <c r="B894" s="88"/>
      <c r="C894" s="88"/>
      <c r="D894" s="88"/>
      <c r="E894" s="88"/>
    </row>
    <row r="895">
      <c r="A895" s="88"/>
      <c r="B895" s="88"/>
      <c r="C895" s="88"/>
      <c r="D895" s="88"/>
      <c r="E895" s="88"/>
    </row>
    <row r="896">
      <c r="A896" s="88"/>
      <c r="B896" s="88"/>
      <c r="C896" s="88"/>
      <c r="D896" s="88"/>
      <c r="E896" s="88"/>
    </row>
    <row r="897">
      <c r="A897" s="88"/>
      <c r="B897" s="88"/>
      <c r="C897" s="88"/>
      <c r="D897" s="88"/>
      <c r="E897" s="88"/>
    </row>
    <row r="898">
      <c r="A898" s="88"/>
      <c r="B898" s="88"/>
      <c r="C898" s="88"/>
      <c r="D898" s="88"/>
      <c r="E898" s="88"/>
    </row>
    <row r="899">
      <c r="A899" s="88"/>
      <c r="B899" s="88"/>
      <c r="C899" s="88"/>
      <c r="D899" s="88"/>
      <c r="E899" s="88"/>
    </row>
    <row r="900">
      <c r="A900" s="88"/>
      <c r="B900" s="88"/>
      <c r="C900" s="88"/>
      <c r="D900" s="88"/>
      <c r="E900" s="88"/>
    </row>
    <row r="901">
      <c r="A901" s="88"/>
      <c r="B901" s="88"/>
      <c r="C901" s="88"/>
      <c r="D901" s="88"/>
      <c r="E901" s="88"/>
    </row>
    <row r="902">
      <c r="A902" s="88"/>
      <c r="B902" s="88"/>
      <c r="C902" s="88"/>
      <c r="D902" s="88"/>
      <c r="E902" s="88"/>
    </row>
    <row r="903">
      <c r="A903" s="88"/>
      <c r="B903" s="88"/>
      <c r="C903" s="88"/>
      <c r="D903" s="88"/>
      <c r="E903" s="88"/>
    </row>
    <row r="904">
      <c r="A904" s="88"/>
      <c r="B904" s="88"/>
      <c r="C904" s="88"/>
      <c r="D904" s="88"/>
      <c r="E904" s="88"/>
    </row>
    <row r="905">
      <c r="A905" s="88"/>
      <c r="B905" s="88"/>
      <c r="C905" s="88"/>
      <c r="D905" s="88"/>
      <c r="E905" s="88"/>
    </row>
    <row r="906">
      <c r="A906" s="88"/>
      <c r="B906" s="88"/>
      <c r="C906" s="88"/>
      <c r="D906" s="88"/>
      <c r="E906" s="88"/>
    </row>
    <row r="907">
      <c r="A907" s="88"/>
      <c r="B907" s="88"/>
      <c r="C907" s="88"/>
      <c r="D907" s="88"/>
      <c r="E907" s="88"/>
    </row>
    <row r="908">
      <c r="A908" s="88"/>
      <c r="B908" s="88"/>
      <c r="C908" s="88"/>
      <c r="D908" s="88"/>
      <c r="E908" s="88"/>
    </row>
    <row r="909">
      <c r="A909" s="88"/>
      <c r="B909" s="88"/>
      <c r="C909" s="88"/>
      <c r="D909" s="88"/>
      <c r="E909" s="88"/>
    </row>
    <row r="910">
      <c r="A910" s="88"/>
      <c r="B910" s="88"/>
      <c r="C910" s="88"/>
      <c r="D910" s="88"/>
      <c r="E910" s="88"/>
    </row>
    <row r="911">
      <c r="A911" s="88"/>
      <c r="B911" s="88"/>
      <c r="C911" s="88"/>
      <c r="D911" s="88"/>
      <c r="E911" s="88"/>
    </row>
    <row r="912">
      <c r="A912" s="88"/>
      <c r="B912" s="88"/>
      <c r="C912" s="88"/>
      <c r="D912" s="88"/>
      <c r="E912" s="88"/>
    </row>
    <row r="913">
      <c r="A913" s="88"/>
      <c r="B913" s="88"/>
      <c r="C913" s="88"/>
      <c r="D913" s="88"/>
      <c r="E913" s="88"/>
    </row>
    <row r="914">
      <c r="A914" s="88"/>
      <c r="B914" s="88"/>
      <c r="C914" s="88"/>
      <c r="D914" s="88"/>
      <c r="E914" s="88"/>
    </row>
    <row r="915">
      <c r="A915" s="88"/>
      <c r="B915" s="88"/>
      <c r="C915" s="88"/>
      <c r="D915" s="88"/>
      <c r="E915" s="88"/>
    </row>
    <row r="916">
      <c r="A916" s="88"/>
      <c r="B916" s="88"/>
      <c r="C916" s="88"/>
      <c r="D916" s="88"/>
      <c r="E916" s="88"/>
    </row>
    <row r="917">
      <c r="A917" s="88"/>
      <c r="B917" s="88"/>
      <c r="C917" s="88"/>
      <c r="D917" s="88"/>
      <c r="E917" s="88"/>
    </row>
    <row r="918">
      <c r="A918" s="88"/>
      <c r="B918" s="88"/>
      <c r="C918" s="88"/>
      <c r="D918" s="88"/>
      <c r="E918" s="88"/>
    </row>
    <row r="919">
      <c r="A919" s="88"/>
      <c r="B919" s="88"/>
      <c r="C919" s="88"/>
      <c r="D919" s="88"/>
      <c r="E919" s="88"/>
    </row>
    <row r="920">
      <c r="A920" s="88"/>
      <c r="B920" s="88"/>
      <c r="C920" s="88"/>
      <c r="D920" s="88"/>
      <c r="E920" s="88"/>
    </row>
    <row r="921">
      <c r="A921" s="88"/>
      <c r="B921" s="88"/>
      <c r="C921" s="88"/>
      <c r="D921" s="88"/>
      <c r="E921" s="88"/>
    </row>
    <row r="922">
      <c r="A922" s="88"/>
      <c r="B922" s="88"/>
      <c r="C922" s="88"/>
      <c r="D922" s="88"/>
      <c r="E922" s="88"/>
    </row>
    <row r="923">
      <c r="A923" s="88"/>
      <c r="B923" s="88"/>
      <c r="C923" s="88"/>
      <c r="D923" s="88"/>
      <c r="E923" s="88"/>
    </row>
    <row r="924">
      <c r="A924" s="88"/>
      <c r="B924" s="88"/>
      <c r="C924" s="88"/>
      <c r="D924" s="88"/>
      <c r="E924" s="88"/>
    </row>
    <row r="925">
      <c r="A925" s="88"/>
      <c r="B925" s="88"/>
      <c r="C925" s="88"/>
      <c r="D925" s="88"/>
      <c r="E925" s="88"/>
    </row>
    <row r="926">
      <c r="A926" s="88"/>
      <c r="B926" s="88"/>
      <c r="C926" s="88"/>
      <c r="D926" s="88"/>
      <c r="E926" s="88"/>
    </row>
    <row r="927">
      <c r="A927" s="88"/>
      <c r="B927" s="88"/>
      <c r="C927" s="88"/>
      <c r="D927" s="88"/>
      <c r="E927" s="88"/>
    </row>
    <row r="928">
      <c r="A928" s="88"/>
      <c r="B928" s="88"/>
      <c r="C928" s="88"/>
      <c r="D928" s="88"/>
      <c r="E928" s="88"/>
    </row>
    <row r="929">
      <c r="A929" s="88"/>
      <c r="B929" s="88"/>
      <c r="C929" s="88"/>
      <c r="D929" s="88"/>
      <c r="E929" s="88"/>
    </row>
    <row r="930">
      <c r="A930" s="88"/>
      <c r="B930" s="88"/>
      <c r="C930" s="88"/>
      <c r="D930" s="88"/>
      <c r="E930" s="88"/>
    </row>
    <row r="931">
      <c r="A931" s="88"/>
      <c r="B931" s="88"/>
      <c r="C931" s="88"/>
      <c r="D931" s="88"/>
      <c r="E931" s="88"/>
    </row>
    <row r="932">
      <c r="A932" s="88"/>
      <c r="B932" s="88"/>
      <c r="C932" s="88"/>
      <c r="D932" s="88"/>
      <c r="E932" s="88"/>
    </row>
    <row r="933">
      <c r="A933" s="88"/>
      <c r="B933" s="88"/>
      <c r="C933" s="88"/>
      <c r="D933" s="88"/>
      <c r="E933" s="88"/>
    </row>
    <row r="934">
      <c r="A934" s="88"/>
      <c r="B934" s="88"/>
      <c r="C934" s="88"/>
      <c r="D934" s="88"/>
      <c r="E934" s="88"/>
    </row>
    <row r="935">
      <c r="A935" s="88"/>
      <c r="B935" s="88"/>
      <c r="C935" s="88"/>
      <c r="D935" s="88"/>
      <c r="E935" s="88"/>
    </row>
    <row r="936">
      <c r="A936" s="88"/>
      <c r="B936" s="88"/>
      <c r="C936" s="88"/>
      <c r="D936" s="88"/>
      <c r="E936" s="88"/>
    </row>
    <row r="937">
      <c r="A937" s="88"/>
      <c r="B937" s="88"/>
      <c r="C937" s="88"/>
      <c r="D937" s="88"/>
      <c r="E937" s="88"/>
    </row>
    <row r="938">
      <c r="A938" s="88"/>
      <c r="B938" s="88"/>
      <c r="C938" s="88"/>
      <c r="D938" s="88"/>
      <c r="E938" s="88"/>
    </row>
    <row r="939">
      <c r="A939" s="88"/>
      <c r="B939" s="88"/>
      <c r="C939" s="88"/>
      <c r="D939" s="88"/>
      <c r="E939" s="88"/>
    </row>
    <row r="940">
      <c r="A940" s="88"/>
      <c r="B940" s="88"/>
      <c r="C940" s="88"/>
      <c r="D940" s="88"/>
      <c r="E940" s="88"/>
    </row>
    <row r="941">
      <c r="A941" s="88"/>
      <c r="B941" s="88"/>
      <c r="C941" s="88"/>
      <c r="D941" s="88"/>
      <c r="E941" s="88"/>
    </row>
    <row r="942">
      <c r="A942" s="88"/>
      <c r="B942" s="88"/>
      <c r="C942" s="88"/>
      <c r="D942" s="88"/>
      <c r="E942" s="88"/>
    </row>
    <row r="943">
      <c r="A943" s="88"/>
      <c r="B943" s="88"/>
      <c r="C943" s="88"/>
      <c r="D943" s="88"/>
      <c r="E943" s="88"/>
    </row>
    <row r="944">
      <c r="A944" s="88"/>
      <c r="B944" s="88"/>
      <c r="C944" s="88"/>
      <c r="D944" s="88"/>
      <c r="E944" s="88"/>
    </row>
    <row r="945">
      <c r="A945" s="88"/>
      <c r="B945" s="88"/>
      <c r="C945" s="88"/>
      <c r="D945" s="88"/>
      <c r="E945" s="88"/>
    </row>
    <row r="946">
      <c r="A946" s="88"/>
      <c r="B946" s="88"/>
      <c r="C946" s="88"/>
      <c r="D946" s="88"/>
      <c r="E946" s="88"/>
    </row>
    <row r="947">
      <c r="A947" s="88"/>
      <c r="B947" s="88"/>
      <c r="C947" s="88"/>
      <c r="D947" s="88"/>
      <c r="E947" s="88"/>
    </row>
    <row r="948">
      <c r="A948" s="88"/>
      <c r="B948" s="88"/>
      <c r="C948" s="88"/>
      <c r="D948" s="88"/>
      <c r="E948" s="88"/>
    </row>
    <row r="949">
      <c r="A949" s="88"/>
      <c r="B949" s="88"/>
      <c r="C949" s="88"/>
      <c r="D949" s="88"/>
      <c r="E949" s="88"/>
    </row>
    <row r="950">
      <c r="A950" s="88"/>
      <c r="B950" s="88"/>
      <c r="C950" s="88"/>
      <c r="D950" s="88"/>
      <c r="E950" s="88"/>
    </row>
    <row r="951">
      <c r="A951" s="88"/>
      <c r="B951" s="88"/>
      <c r="C951" s="88"/>
      <c r="D951" s="88"/>
      <c r="E951" s="88"/>
    </row>
    <row r="952">
      <c r="A952" s="88"/>
      <c r="B952" s="88"/>
      <c r="C952" s="88"/>
      <c r="D952" s="88"/>
      <c r="E952" s="88"/>
    </row>
    <row r="953">
      <c r="A953" s="88"/>
      <c r="B953" s="88"/>
      <c r="C953" s="88"/>
      <c r="D953" s="88"/>
      <c r="E953" s="88"/>
    </row>
    <row r="954">
      <c r="A954" s="88"/>
      <c r="B954" s="88"/>
      <c r="C954" s="88"/>
      <c r="D954" s="88"/>
      <c r="E954" s="88"/>
    </row>
    <row r="955">
      <c r="A955" s="88"/>
      <c r="B955" s="88"/>
      <c r="C955" s="88"/>
      <c r="D955" s="88"/>
      <c r="E955" s="88"/>
    </row>
    <row r="956">
      <c r="A956" s="88"/>
      <c r="B956" s="88"/>
      <c r="C956" s="88"/>
      <c r="D956" s="88"/>
      <c r="E956" s="88"/>
    </row>
    <row r="957">
      <c r="A957" s="88"/>
      <c r="B957" s="88"/>
      <c r="C957" s="88"/>
      <c r="D957" s="88"/>
      <c r="E957" s="88"/>
    </row>
    <row r="958">
      <c r="A958" s="88"/>
      <c r="B958" s="88"/>
      <c r="C958" s="88"/>
      <c r="D958" s="88"/>
      <c r="E958" s="88"/>
    </row>
    <row r="959">
      <c r="A959" s="88"/>
      <c r="B959" s="88"/>
      <c r="C959" s="88"/>
      <c r="D959" s="88"/>
      <c r="E959" s="88"/>
    </row>
    <row r="960">
      <c r="A960" s="88"/>
      <c r="B960" s="88"/>
      <c r="C960" s="88"/>
      <c r="D960" s="88"/>
      <c r="E960" s="88"/>
    </row>
    <row r="961">
      <c r="A961" s="88"/>
      <c r="B961" s="88"/>
      <c r="C961" s="88"/>
      <c r="D961" s="88"/>
      <c r="E961" s="88"/>
    </row>
    <row r="962">
      <c r="A962" s="88"/>
      <c r="B962" s="88"/>
      <c r="C962" s="88"/>
      <c r="D962" s="88"/>
      <c r="E962" s="88"/>
    </row>
    <row r="963">
      <c r="A963" s="88"/>
      <c r="B963" s="88"/>
      <c r="C963" s="88"/>
      <c r="D963" s="88"/>
      <c r="E963" s="88"/>
    </row>
    <row r="964">
      <c r="A964" s="88"/>
      <c r="B964" s="88"/>
      <c r="C964" s="88"/>
      <c r="D964" s="88"/>
      <c r="E964" s="88"/>
    </row>
    <row r="965">
      <c r="A965" s="88"/>
      <c r="B965" s="88"/>
      <c r="C965" s="88"/>
      <c r="D965" s="88"/>
      <c r="E965" s="88"/>
    </row>
    <row r="966">
      <c r="A966" s="88"/>
      <c r="B966" s="88"/>
      <c r="C966" s="88"/>
      <c r="D966" s="88"/>
      <c r="E966" s="88"/>
    </row>
    <row r="967">
      <c r="A967" s="88"/>
      <c r="B967" s="88"/>
      <c r="C967" s="88"/>
      <c r="D967" s="88"/>
      <c r="E967" s="88"/>
    </row>
    <row r="968">
      <c r="A968" s="88"/>
      <c r="B968" s="88"/>
      <c r="C968" s="88"/>
      <c r="D968" s="88"/>
      <c r="E968" s="88"/>
    </row>
    <row r="969">
      <c r="A969" s="88"/>
      <c r="B969" s="88"/>
      <c r="C969" s="88"/>
      <c r="D969" s="88"/>
      <c r="E969" s="88"/>
    </row>
    <row r="970">
      <c r="A970" s="88"/>
      <c r="B970" s="88"/>
      <c r="C970" s="88"/>
      <c r="D970" s="88"/>
      <c r="E970" s="88"/>
    </row>
    <row r="971">
      <c r="A971" s="88"/>
      <c r="B971" s="88"/>
      <c r="C971" s="88"/>
      <c r="D971" s="88"/>
      <c r="E971" s="88"/>
    </row>
    <row r="972">
      <c r="A972" s="88"/>
      <c r="B972" s="88"/>
      <c r="C972" s="88"/>
      <c r="D972" s="88"/>
      <c r="E972" s="88"/>
    </row>
    <row r="973">
      <c r="A973" s="88"/>
      <c r="B973" s="88"/>
      <c r="C973" s="88"/>
      <c r="D973" s="88"/>
      <c r="E973" s="88"/>
    </row>
    <row r="974">
      <c r="A974" s="88"/>
      <c r="B974" s="88"/>
      <c r="C974" s="88"/>
      <c r="D974" s="88"/>
      <c r="E974" s="88"/>
    </row>
    <row r="975">
      <c r="A975" s="88"/>
      <c r="B975" s="88"/>
      <c r="C975" s="88"/>
      <c r="D975" s="88"/>
      <c r="E975" s="88"/>
    </row>
    <row r="976">
      <c r="A976" s="88"/>
      <c r="B976" s="88"/>
      <c r="C976" s="88"/>
      <c r="D976" s="88"/>
      <c r="E976" s="88"/>
    </row>
    <row r="977">
      <c r="A977" s="88"/>
      <c r="B977" s="88"/>
      <c r="C977" s="88"/>
      <c r="D977" s="88"/>
      <c r="E977" s="88"/>
    </row>
    <row r="978">
      <c r="A978" s="88"/>
      <c r="B978" s="88"/>
      <c r="C978" s="88"/>
      <c r="D978" s="88"/>
      <c r="E978" s="88"/>
    </row>
    <row r="979">
      <c r="A979" s="88"/>
      <c r="B979" s="88"/>
      <c r="C979" s="88"/>
      <c r="D979" s="88"/>
      <c r="E979" s="88"/>
    </row>
    <row r="980">
      <c r="A980" s="88"/>
      <c r="B980" s="88"/>
      <c r="C980" s="88"/>
      <c r="D980" s="88"/>
      <c r="E980" s="88"/>
    </row>
    <row r="981">
      <c r="A981" s="88"/>
      <c r="B981" s="88"/>
      <c r="C981" s="88"/>
      <c r="D981" s="88"/>
      <c r="E981" s="88"/>
    </row>
    <row r="982">
      <c r="A982" s="88"/>
      <c r="B982" s="88"/>
      <c r="C982" s="88"/>
      <c r="D982" s="88"/>
      <c r="E982" s="88"/>
    </row>
    <row r="983">
      <c r="A983" s="88"/>
      <c r="B983" s="88"/>
      <c r="C983" s="88"/>
      <c r="D983" s="88"/>
      <c r="E983" s="88"/>
    </row>
    <row r="984">
      <c r="A984" s="88"/>
      <c r="B984" s="88"/>
      <c r="C984" s="88"/>
      <c r="D984" s="88"/>
      <c r="E984" s="88"/>
    </row>
    <row r="985">
      <c r="A985" s="88"/>
      <c r="B985" s="88"/>
      <c r="C985" s="88"/>
      <c r="D985" s="88"/>
      <c r="E985" s="88"/>
    </row>
    <row r="986">
      <c r="A986" s="88"/>
      <c r="B986" s="88"/>
      <c r="C986" s="88"/>
      <c r="D986" s="88"/>
      <c r="E986" s="88"/>
    </row>
    <row r="987">
      <c r="A987" s="88"/>
      <c r="B987" s="88"/>
      <c r="C987" s="88"/>
      <c r="D987" s="88"/>
      <c r="E987" s="88"/>
    </row>
    <row r="988">
      <c r="A988" s="88"/>
      <c r="B988" s="88"/>
      <c r="C988" s="88"/>
      <c r="D988" s="88"/>
      <c r="E988" s="88"/>
    </row>
    <row r="989">
      <c r="A989" s="88"/>
      <c r="B989" s="88"/>
      <c r="C989" s="88"/>
      <c r="D989" s="88"/>
      <c r="E989" s="88"/>
    </row>
    <row r="990">
      <c r="A990" s="88"/>
      <c r="B990" s="88"/>
      <c r="C990" s="88"/>
      <c r="D990" s="88"/>
      <c r="E990" s="88"/>
    </row>
    <row r="991">
      <c r="A991" s="88"/>
      <c r="B991" s="88"/>
      <c r="C991" s="88"/>
      <c r="D991" s="88"/>
      <c r="E991" s="88"/>
    </row>
    <row r="992">
      <c r="A992" s="88"/>
      <c r="B992" s="88"/>
      <c r="C992" s="88"/>
      <c r="D992" s="88"/>
      <c r="E992" s="88"/>
    </row>
    <row r="993">
      <c r="A993" s="88"/>
      <c r="B993" s="88"/>
      <c r="C993" s="88"/>
      <c r="D993" s="88"/>
      <c r="E993" s="88"/>
    </row>
    <row r="994">
      <c r="A994" s="88"/>
      <c r="B994" s="88"/>
      <c r="C994" s="88"/>
      <c r="D994" s="88"/>
      <c r="E994" s="88"/>
    </row>
    <row r="995">
      <c r="A995" s="88"/>
      <c r="B995" s="88"/>
      <c r="C995" s="88"/>
      <c r="D995" s="88"/>
      <c r="E995" s="88"/>
    </row>
    <row r="996">
      <c r="A996" s="88"/>
      <c r="B996" s="88"/>
      <c r="C996" s="88"/>
      <c r="D996" s="88"/>
      <c r="E996" s="88"/>
    </row>
    <row r="997">
      <c r="A997" s="88"/>
      <c r="B997" s="88"/>
      <c r="C997" s="88"/>
      <c r="D997" s="88"/>
      <c r="E997" s="88"/>
    </row>
    <row r="998">
      <c r="A998" s="88"/>
      <c r="B998" s="88"/>
      <c r="C998" s="88"/>
      <c r="D998" s="88"/>
      <c r="E998" s="88"/>
    </row>
    <row r="999">
      <c r="A999" s="88"/>
      <c r="B999" s="88"/>
      <c r="C999" s="88"/>
      <c r="D999" s="88"/>
      <c r="E999" s="88"/>
    </row>
    <row r="1000">
      <c r="A1000" s="88"/>
      <c r="B1000" s="88"/>
      <c r="C1000" s="88"/>
      <c r="D1000" s="88"/>
      <c r="E1000" s="88"/>
    </row>
  </sheetData>
  <mergeCells count="1">
    <mergeCell ref="E1:E3"/>
  </mergeCells>
  <drawing r:id="rId2"/>
</worksheet>
</file>